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1580" activeTab="1"/>
  </bookViews>
  <sheets>
    <sheet name="стр.2  2021 " sheetId="1" r:id="rId1"/>
    <sheet name="стр.1 2021" sheetId="2" r:id="rId2"/>
  </sheets>
  <definedNames>
    <definedName name="_xlnm.Print_Area" localSheetId="1">'стр.1 2021'!$A$1:$EN$38</definedName>
    <definedName name="_xlnm.Print_Area" localSheetId="0">'стр.2  2021 '!$A$1:$FK$36</definedName>
  </definedNames>
  <calcPr fullCalcOnLoad="1"/>
</workbook>
</file>

<file path=xl/sharedStrings.xml><?xml version="1.0" encoding="utf-8"?>
<sst xmlns="http://schemas.openxmlformats.org/spreadsheetml/2006/main" count="137" uniqueCount="87">
  <si>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</si>
  <si>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</si>
  <si>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</si>
  <si>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</si>
  <si>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</si>
  <si>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</si>
  <si>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</si>
  <si>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</si>
  <si>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</si>
  <si>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</si>
  <si>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</si>
  <si>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</si>
  <si>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</si>
  <si>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</si>
  <si>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</si>
  <si>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</si>
  <si>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</si>
  <si>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</si>
  <si>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</si>
  <si>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</si>
  <si>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</si>
  <si>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</si>
  <si>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</si>
  <si>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</si>
  <si>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</si>
  <si>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</si>
  <si>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</si>
  <si>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</si>
  <si>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</si>
  <si>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</si>
  <si>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</si>
  <si>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</si>
  <si>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</si>
  <si>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</si>
  <si>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</si>
  <si>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</si>
  <si>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</si>
  <si>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</si>
  <si>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</si>
  <si>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</si>
  <si>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</si>
  <si>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</si>
  <si>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</si>
  <si>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</si>
  <si>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</si>
  <si>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</si>
  <si>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</si>
  <si>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</si>
  <si>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</si>
  <si>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</si>
  <si>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</si>
  <si>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</si>
  <si>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</si>
  <si>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</si>
  <si>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</si>
  <si>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</si>
  <si>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</si>
  <si>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</si>
  <si>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</si>
  <si>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</si>
  <si>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4. Обслуживание пассажиров</t>
  </si>
  <si>
    <t>Итого по аэропортовой деятельности:</t>
  </si>
  <si>
    <t>1.4</t>
  </si>
  <si>
    <t>1.5</t>
  </si>
  <si>
    <t>1.6</t>
  </si>
  <si>
    <t>2.4</t>
  </si>
  <si>
    <t>2.5</t>
  </si>
  <si>
    <t>2.6</t>
  </si>
  <si>
    <t>Обеспечение авиационной безопасности</t>
  </si>
  <si>
    <t>Предоставление аэровокзального комплекса</t>
  </si>
  <si>
    <t xml:space="preserve">Обслуживание пассажиров </t>
  </si>
  <si>
    <t>Обеспечение взлета, посадки и стоянки воздушных судов</t>
  </si>
  <si>
    <t>6. Обеспечение заправки воздушных судов авиационным топливом</t>
  </si>
  <si>
    <t>7. Хранение авиационного топлива</t>
  </si>
  <si>
    <t>Обеспечение заправки воздушных судов авиационным топливом</t>
  </si>
  <si>
    <t>Хранение авиационного топлива</t>
  </si>
  <si>
    <t>2. Обеспечение авиационной безопасности</t>
  </si>
  <si>
    <t>3. Предоставление аэровокзального комплекса</t>
  </si>
  <si>
    <t>5. Обеспечение заправки воздушных судов авиационным топливом</t>
  </si>
  <si>
    <t>6. Хранение авиационного топлива</t>
  </si>
  <si>
    <t>операционные расходы, связанные с оплатой услуг, оказываемых кредитн.организациями</t>
  </si>
  <si>
    <t>2022 (прогноз)</t>
  </si>
  <si>
    <t>2022 год (прогноз)</t>
  </si>
  <si>
    <t>2021 (отчет)</t>
  </si>
  <si>
    <t>2023 (прогноз)</t>
  </si>
  <si>
    <t>2021 год (отчет)</t>
  </si>
  <si>
    <t>2023 год (прогноз)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</si>
</sst>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24998000264167786"/>
      <name val="Times New Roman"/>
      <family val="1"/>
    </font>
    <font>
      <sz val="10"/>
      <color theme="1" tint="0.24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left" vertical="top"/>
    </xf>
    <xf numFmtId="3" fontId="4" fillId="0" borderId="12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3" fontId="1" fillId="0" borderId="12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wrapText="1" indent="1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3" fontId="1" fillId="33" borderId="12" xfId="0" applyNumberFormat="1" applyFont="1" applyFill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46" fillId="33" borderId="12" xfId="0" applyNumberFormat="1" applyFont="1" applyFill="1" applyBorder="1" applyAlignment="1">
      <alignment horizontal="center" vertical="top"/>
    </xf>
    <xf numFmtId="3" fontId="47" fillId="33" borderId="12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3" fontId="1" fillId="33" borderId="13" xfId="0" applyNumberFormat="1" applyFont="1" applyFill="1" applyBorder="1" applyAlignment="1">
      <alignment horizontal="center" vertical="top"/>
    </xf>
    <xf numFmtId="3" fontId="1" fillId="33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SheetLayoutView="100" zoomScalePageLayoutView="0" workbookViewId="0" topLeftCell="A1">
      <pane xSplit="57" ySplit="5" topLeftCell="BF6" activePane="bottomRight" state="frozen"/>
      <selection pane="topLeft" activeCell="A1" sqref="A1"/>
      <selection pane="topRight" activeCell="BF1" sqref="BF1"/>
      <selection pane="bottomLeft" activeCell="A6" sqref="A6"/>
      <selection pane="bottomRight" activeCell="B34" sqref="B34:BE34"/>
    </sheetView>
  </sheetViews>
  <sheetFormatPr defaultColWidth="0.875" defaultRowHeight="12.75"/>
  <cols>
    <col min="1" max="56" width="0.875" style="4" customWidth="1"/>
    <col min="57" max="57" width="9.75390625" style="4" customWidth="1"/>
    <col min="58" max="76" width="0.875" style="4" customWidth="1"/>
    <col min="77" max="77" width="0.875" style="4" hidden="1" customWidth="1"/>
    <col min="78" max="78" width="0.2421875" style="4" customWidth="1"/>
    <col min="79" max="79" width="0.875" style="4" hidden="1" customWidth="1"/>
    <col min="80" max="136" width="0.875" style="4" customWidth="1"/>
    <col min="137" max="137" width="0.6171875" style="4" customWidth="1"/>
    <col min="138" max="138" width="0.74609375" style="4" hidden="1" customWidth="1"/>
    <col min="139" max="140" width="0.875" style="4" hidden="1" customWidth="1"/>
    <col min="141" max="147" width="0.875" style="4" customWidth="1"/>
    <col min="148" max="148" width="0.37109375" style="4" customWidth="1"/>
    <col min="149" max="149" width="0.875" style="4" hidden="1" customWidth="1"/>
    <col min="150" max="157" width="0.875" style="4" customWidth="1"/>
    <col min="158" max="158" width="0.6171875" style="4" customWidth="1"/>
    <col min="159" max="159" width="0.875" style="4" hidden="1" customWidth="1"/>
    <col min="160" max="16384" width="0.875" style="4" customWidth="1"/>
  </cols>
  <sheetData>
    <row r="1" spans="2:166" s="1" customFormat="1" ht="15" customHeight="1">
      <c r="B1" s="77" t="s">
        <v>57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</row>
    <row r="2" ht="6" customHeight="1"/>
    <row r="3" spans="1:167" s="20" customFormat="1" ht="12.75" customHeight="1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80"/>
      <c r="BF3" s="78" t="s">
        <v>2</v>
      </c>
      <c r="BG3" s="79"/>
      <c r="BH3" s="79"/>
      <c r="BI3" s="79"/>
      <c r="BJ3" s="79"/>
      <c r="BK3" s="79"/>
      <c r="BL3" s="79"/>
      <c r="BM3" s="79"/>
      <c r="BN3" s="79"/>
      <c r="BO3" s="80"/>
      <c r="BP3" s="87" t="s">
        <v>3</v>
      </c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9"/>
    </row>
    <row r="4" spans="1:167" s="20" customFormat="1" ht="107.2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3"/>
      <c r="BF4" s="84"/>
      <c r="BG4" s="85"/>
      <c r="BH4" s="85"/>
      <c r="BI4" s="85"/>
      <c r="BJ4" s="85"/>
      <c r="BK4" s="85"/>
      <c r="BL4" s="85"/>
      <c r="BM4" s="85"/>
      <c r="BN4" s="85"/>
      <c r="BO4" s="86"/>
      <c r="BP4" s="76" t="s">
        <v>11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12</v>
      </c>
      <c r="CC4" s="76"/>
      <c r="CD4" s="76"/>
      <c r="CE4" s="76"/>
      <c r="CF4" s="76"/>
      <c r="CG4" s="76"/>
      <c r="CH4" s="76"/>
      <c r="CI4" s="76"/>
      <c r="CJ4" s="76"/>
      <c r="CK4" s="76" t="s">
        <v>4</v>
      </c>
      <c r="CL4" s="76"/>
      <c r="CM4" s="76"/>
      <c r="CN4" s="76"/>
      <c r="CO4" s="76"/>
      <c r="CP4" s="76"/>
      <c r="CQ4" s="76"/>
      <c r="CR4" s="76"/>
      <c r="CS4" s="76"/>
      <c r="CT4" s="76" t="s">
        <v>10</v>
      </c>
      <c r="CU4" s="76"/>
      <c r="CV4" s="76"/>
      <c r="CW4" s="76"/>
      <c r="CX4" s="76"/>
      <c r="CY4" s="76"/>
      <c r="CZ4" s="76"/>
      <c r="DA4" s="76"/>
      <c r="DB4" s="76"/>
      <c r="DC4" s="76" t="s">
        <v>5</v>
      </c>
      <c r="DD4" s="76"/>
      <c r="DE4" s="76"/>
      <c r="DF4" s="76"/>
      <c r="DG4" s="76"/>
      <c r="DH4" s="76"/>
      <c r="DI4" s="76"/>
      <c r="DJ4" s="76"/>
      <c r="DK4" s="76"/>
      <c r="DL4" s="76" t="s">
        <v>6</v>
      </c>
      <c r="DM4" s="76"/>
      <c r="DN4" s="76"/>
      <c r="DO4" s="76"/>
      <c r="DP4" s="76"/>
      <c r="DQ4" s="76"/>
      <c r="DR4" s="76"/>
      <c r="DS4" s="76"/>
      <c r="DT4" s="76"/>
      <c r="DU4" s="76"/>
      <c r="DV4" s="76" t="s">
        <v>80</v>
      </c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 t="s">
        <v>8</v>
      </c>
      <c r="EL4" s="76"/>
      <c r="EM4" s="76"/>
      <c r="EN4" s="76"/>
      <c r="EO4" s="76"/>
      <c r="EP4" s="76"/>
      <c r="EQ4" s="76"/>
      <c r="ER4" s="76"/>
      <c r="ES4" s="76"/>
      <c r="ET4" s="76" t="s">
        <v>9</v>
      </c>
      <c r="EU4" s="76"/>
      <c r="EV4" s="76"/>
      <c r="EW4" s="76"/>
      <c r="EX4" s="76"/>
      <c r="EY4" s="76"/>
      <c r="EZ4" s="76"/>
      <c r="FA4" s="76"/>
      <c r="FB4" s="76"/>
      <c r="FC4" s="76"/>
      <c r="FD4" s="76" t="s">
        <v>7</v>
      </c>
      <c r="FE4" s="76"/>
      <c r="FF4" s="76"/>
      <c r="FG4" s="76"/>
      <c r="FH4" s="76"/>
      <c r="FI4" s="76"/>
      <c r="FJ4" s="76"/>
      <c r="FK4" s="76"/>
    </row>
    <row r="5" spans="1:167" s="20" customFormat="1" ht="12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3"/>
      <c r="BF5" s="75">
        <v>1</v>
      </c>
      <c r="BG5" s="75"/>
      <c r="BH5" s="75"/>
      <c r="BI5" s="75"/>
      <c r="BJ5" s="75"/>
      <c r="BK5" s="75"/>
      <c r="BL5" s="75"/>
      <c r="BM5" s="75"/>
      <c r="BN5" s="75"/>
      <c r="BO5" s="75"/>
      <c r="BP5" s="75">
        <v>2</v>
      </c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>
        <v>3</v>
      </c>
      <c r="CC5" s="75"/>
      <c r="CD5" s="75"/>
      <c r="CE5" s="75"/>
      <c r="CF5" s="75"/>
      <c r="CG5" s="75"/>
      <c r="CH5" s="75"/>
      <c r="CI5" s="75"/>
      <c r="CJ5" s="75"/>
      <c r="CK5" s="75">
        <v>4</v>
      </c>
      <c r="CL5" s="75"/>
      <c r="CM5" s="75"/>
      <c r="CN5" s="75"/>
      <c r="CO5" s="75"/>
      <c r="CP5" s="75"/>
      <c r="CQ5" s="75"/>
      <c r="CR5" s="75"/>
      <c r="CS5" s="75"/>
      <c r="CT5" s="75">
        <v>5</v>
      </c>
      <c r="CU5" s="75"/>
      <c r="CV5" s="75"/>
      <c r="CW5" s="75"/>
      <c r="CX5" s="75"/>
      <c r="CY5" s="75"/>
      <c r="CZ5" s="75"/>
      <c r="DA5" s="75"/>
      <c r="DB5" s="75"/>
      <c r="DC5" s="75">
        <v>6</v>
      </c>
      <c r="DD5" s="75"/>
      <c r="DE5" s="75"/>
      <c r="DF5" s="75"/>
      <c r="DG5" s="75"/>
      <c r="DH5" s="75"/>
      <c r="DI5" s="75"/>
      <c r="DJ5" s="75"/>
      <c r="DK5" s="75"/>
      <c r="DL5" s="75">
        <v>7</v>
      </c>
      <c r="DM5" s="75"/>
      <c r="DN5" s="75"/>
      <c r="DO5" s="75"/>
      <c r="DP5" s="75"/>
      <c r="DQ5" s="75"/>
      <c r="DR5" s="75"/>
      <c r="DS5" s="75"/>
      <c r="DT5" s="75"/>
      <c r="DU5" s="75"/>
      <c r="DV5" s="75">
        <v>8</v>
      </c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>
        <v>9</v>
      </c>
      <c r="EL5" s="75"/>
      <c r="EM5" s="75"/>
      <c r="EN5" s="75"/>
      <c r="EO5" s="75"/>
      <c r="EP5" s="75"/>
      <c r="EQ5" s="75"/>
      <c r="ER5" s="75"/>
      <c r="ES5" s="75"/>
      <c r="ET5" s="75">
        <v>10</v>
      </c>
      <c r="EU5" s="75"/>
      <c r="EV5" s="75"/>
      <c r="EW5" s="75"/>
      <c r="EX5" s="75"/>
      <c r="EY5" s="75"/>
      <c r="EZ5" s="75"/>
      <c r="FA5" s="75"/>
      <c r="FB5" s="75"/>
      <c r="FC5" s="75"/>
      <c r="FD5" s="75">
        <v>11</v>
      </c>
      <c r="FE5" s="75"/>
      <c r="FF5" s="75"/>
      <c r="FG5" s="75"/>
      <c r="FH5" s="75"/>
      <c r="FI5" s="75"/>
      <c r="FJ5" s="75"/>
      <c r="FK5" s="75"/>
    </row>
    <row r="6" spans="1:167" ht="15" customHeight="1">
      <c r="A6" s="5"/>
      <c r="B6" s="62" t="s">
        <v>85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3"/>
      <c r="BF6" s="73"/>
      <c r="BG6" s="74"/>
      <c r="BH6" s="74"/>
      <c r="BI6" s="74"/>
      <c r="BJ6" s="74"/>
      <c r="BK6" s="74"/>
      <c r="BL6" s="74"/>
      <c r="BM6" s="74"/>
      <c r="BN6" s="74"/>
      <c r="BO6" s="74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3"/>
      <c r="CC6" s="74"/>
      <c r="CD6" s="74"/>
      <c r="CE6" s="74"/>
      <c r="CF6" s="74"/>
      <c r="CG6" s="74"/>
      <c r="CH6" s="74"/>
      <c r="CI6" s="74"/>
      <c r="CJ6" s="74"/>
      <c r="CK6" s="73"/>
      <c r="CL6" s="74"/>
      <c r="CM6" s="74"/>
      <c r="CN6" s="74"/>
      <c r="CO6" s="74"/>
      <c r="CP6" s="74"/>
      <c r="CQ6" s="74"/>
      <c r="CR6" s="74"/>
      <c r="CS6" s="74"/>
      <c r="CT6" s="73"/>
      <c r="CU6" s="74"/>
      <c r="CV6" s="74"/>
      <c r="CW6" s="74"/>
      <c r="CX6" s="74"/>
      <c r="CY6" s="74"/>
      <c r="CZ6" s="74"/>
      <c r="DA6" s="74"/>
      <c r="DB6" s="74"/>
      <c r="DC6" s="73"/>
      <c r="DD6" s="74"/>
      <c r="DE6" s="74"/>
      <c r="DF6" s="74"/>
      <c r="DG6" s="74"/>
      <c r="DH6" s="74"/>
      <c r="DI6" s="74"/>
      <c r="DJ6" s="74"/>
      <c r="DK6" s="74"/>
      <c r="DL6" s="73"/>
      <c r="DM6" s="74"/>
      <c r="DN6" s="74"/>
      <c r="DO6" s="74"/>
      <c r="DP6" s="74"/>
      <c r="DQ6" s="74"/>
      <c r="DR6" s="74"/>
      <c r="DS6" s="74"/>
      <c r="DT6" s="74"/>
      <c r="DU6" s="74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</row>
    <row r="7" spans="1:167" ht="13.5" customHeight="1">
      <c r="A7" s="5"/>
      <c r="B7" s="71" t="s">
        <v>58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2"/>
      <c r="BF7" s="32">
        <f>SUM(BF8:BO13)</f>
        <v>382815</v>
      </c>
      <c r="BG7" s="52"/>
      <c r="BH7" s="52"/>
      <c r="BI7" s="52"/>
      <c r="BJ7" s="52"/>
      <c r="BK7" s="52"/>
      <c r="BL7" s="52"/>
      <c r="BM7" s="52"/>
      <c r="BN7" s="52"/>
      <c r="BO7" s="52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32">
        <f>SUM(CB8:CJ13)</f>
        <v>31239</v>
      </c>
      <c r="CC7" s="52"/>
      <c r="CD7" s="52"/>
      <c r="CE7" s="52"/>
      <c r="CF7" s="52"/>
      <c r="CG7" s="52"/>
      <c r="CH7" s="52"/>
      <c r="CI7" s="52"/>
      <c r="CJ7" s="52"/>
      <c r="CK7" s="32">
        <f>SUM(CK8:CS13)</f>
        <v>233761</v>
      </c>
      <c r="CL7" s="52"/>
      <c r="CM7" s="52"/>
      <c r="CN7" s="52"/>
      <c r="CO7" s="52"/>
      <c r="CP7" s="52"/>
      <c r="CQ7" s="52"/>
      <c r="CR7" s="52"/>
      <c r="CS7" s="52"/>
      <c r="CT7" s="32">
        <f>SUM(CT8:DB13)</f>
        <v>71791</v>
      </c>
      <c r="CU7" s="52"/>
      <c r="CV7" s="52"/>
      <c r="CW7" s="52"/>
      <c r="CX7" s="52"/>
      <c r="CY7" s="52"/>
      <c r="CZ7" s="52"/>
      <c r="DA7" s="52"/>
      <c r="DB7" s="52"/>
      <c r="DC7" s="32">
        <f>SUM(DC8:DK13)</f>
        <v>4243</v>
      </c>
      <c r="DD7" s="52"/>
      <c r="DE7" s="52"/>
      <c r="DF7" s="52"/>
      <c r="DG7" s="52"/>
      <c r="DH7" s="52"/>
      <c r="DI7" s="52"/>
      <c r="DJ7" s="52"/>
      <c r="DK7" s="52"/>
      <c r="DL7" s="32">
        <f>SUM(DL8:DU13)</f>
        <v>41781</v>
      </c>
      <c r="DM7" s="52"/>
      <c r="DN7" s="52"/>
      <c r="DO7" s="52"/>
      <c r="DP7" s="52"/>
      <c r="DQ7" s="52"/>
      <c r="DR7" s="52"/>
      <c r="DS7" s="52"/>
      <c r="DT7" s="52"/>
      <c r="DU7" s="52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ht="12.75" customHeight="1">
      <c r="A8" s="7"/>
      <c r="B8" s="68" t="s">
        <v>59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36">
        <f>SUM(BP8:FK8)</f>
        <v>184562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>
        <f>9504+2649</f>
        <v>12153</v>
      </c>
      <c r="CC8" s="36"/>
      <c r="CD8" s="36"/>
      <c r="CE8" s="36"/>
      <c r="CF8" s="36"/>
      <c r="CG8" s="36"/>
      <c r="CH8" s="36"/>
      <c r="CI8" s="36"/>
      <c r="CJ8" s="36"/>
      <c r="CK8" s="36">
        <v>118522</v>
      </c>
      <c r="CL8" s="36"/>
      <c r="CM8" s="36"/>
      <c r="CN8" s="36"/>
      <c r="CO8" s="36"/>
      <c r="CP8" s="36"/>
      <c r="CQ8" s="36"/>
      <c r="CR8" s="36"/>
      <c r="CS8" s="36"/>
      <c r="CT8" s="36">
        <v>35567</v>
      </c>
      <c r="CU8" s="36"/>
      <c r="CV8" s="36"/>
      <c r="CW8" s="36"/>
      <c r="CX8" s="36"/>
      <c r="CY8" s="36"/>
      <c r="CZ8" s="36"/>
      <c r="DA8" s="36"/>
      <c r="DB8" s="36"/>
      <c r="DC8" s="36">
        <v>2017</v>
      </c>
      <c r="DD8" s="36"/>
      <c r="DE8" s="36"/>
      <c r="DF8" s="36"/>
      <c r="DG8" s="36"/>
      <c r="DH8" s="36"/>
      <c r="DI8" s="36"/>
      <c r="DJ8" s="36"/>
      <c r="DK8" s="36"/>
      <c r="DL8" s="36">
        <f>9984+3985+2334</f>
        <v>16303</v>
      </c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</row>
    <row r="9" spans="1:167" ht="12.75" customHeight="1">
      <c r="A9" s="5"/>
      <c r="B9" s="64" t="s">
        <v>76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36">
        <f>SUM(BP9:FK9)</f>
        <v>68330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>
        <f>2553+569</f>
        <v>3122</v>
      </c>
      <c r="CC9" s="36"/>
      <c r="CD9" s="36"/>
      <c r="CE9" s="36"/>
      <c r="CF9" s="36"/>
      <c r="CG9" s="36"/>
      <c r="CH9" s="36"/>
      <c r="CI9" s="36"/>
      <c r="CJ9" s="36"/>
      <c r="CK9" s="36">
        <v>41608</v>
      </c>
      <c r="CL9" s="36"/>
      <c r="CM9" s="36"/>
      <c r="CN9" s="36"/>
      <c r="CO9" s="36"/>
      <c r="CP9" s="36"/>
      <c r="CQ9" s="36"/>
      <c r="CR9" s="36"/>
      <c r="CS9" s="36"/>
      <c r="CT9" s="36">
        <v>12754</v>
      </c>
      <c r="CU9" s="36"/>
      <c r="CV9" s="36"/>
      <c r="CW9" s="36"/>
      <c r="CX9" s="36"/>
      <c r="CY9" s="36"/>
      <c r="CZ9" s="36"/>
      <c r="DA9" s="36"/>
      <c r="DB9" s="36"/>
      <c r="DC9" s="36">
        <v>1787</v>
      </c>
      <c r="DD9" s="36"/>
      <c r="DE9" s="36"/>
      <c r="DF9" s="36"/>
      <c r="DG9" s="36"/>
      <c r="DH9" s="36"/>
      <c r="DI9" s="36"/>
      <c r="DJ9" s="36"/>
      <c r="DK9" s="36"/>
      <c r="DL9" s="36">
        <f>6346+1999+714</f>
        <v>9059</v>
      </c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</row>
    <row r="10" spans="1:167" ht="12.75" customHeight="1">
      <c r="A10" s="5"/>
      <c r="B10" s="64" t="s">
        <v>77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36">
        <f>SUM(BP10:FK10)</f>
        <v>53509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>
        <f>3858+4593</f>
        <v>8451</v>
      </c>
      <c r="CC10" s="36"/>
      <c r="CD10" s="36"/>
      <c r="CE10" s="36"/>
      <c r="CF10" s="36"/>
      <c r="CG10" s="36"/>
      <c r="CH10" s="36"/>
      <c r="CI10" s="36"/>
      <c r="CJ10" s="36"/>
      <c r="CK10" s="36">
        <v>27104</v>
      </c>
      <c r="CL10" s="36"/>
      <c r="CM10" s="36"/>
      <c r="CN10" s="36"/>
      <c r="CO10" s="36"/>
      <c r="CP10" s="36"/>
      <c r="CQ10" s="36"/>
      <c r="CR10" s="36"/>
      <c r="CS10" s="36"/>
      <c r="CT10" s="36">
        <v>8366</v>
      </c>
      <c r="CU10" s="36"/>
      <c r="CV10" s="36"/>
      <c r="CW10" s="36"/>
      <c r="CX10" s="36"/>
      <c r="CY10" s="36"/>
      <c r="CZ10" s="36"/>
      <c r="DA10" s="36"/>
      <c r="DB10" s="36"/>
      <c r="DC10" s="36">
        <v>228</v>
      </c>
      <c r="DD10" s="36"/>
      <c r="DE10" s="36"/>
      <c r="DF10" s="36"/>
      <c r="DG10" s="36"/>
      <c r="DH10" s="36"/>
      <c r="DI10" s="36"/>
      <c r="DJ10" s="36"/>
      <c r="DK10" s="36"/>
      <c r="DL10" s="36">
        <f>6214+2380+766</f>
        <v>9360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ht="12.75" customHeight="1">
      <c r="A11" s="5"/>
      <c r="B11" s="66" t="s">
        <v>60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7"/>
      <c r="BF11" s="36">
        <f>SUM(BP11:FK11)</f>
        <v>40974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>
        <f>2126+164</f>
        <v>2290</v>
      </c>
      <c r="CC11" s="36"/>
      <c r="CD11" s="36"/>
      <c r="CE11" s="36"/>
      <c r="CF11" s="36"/>
      <c r="CG11" s="36"/>
      <c r="CH11" s="36"/>
      <c r="CI11" s="36"/>
      <c r="CJ11" s="36"/>
      <c r="CK11" s="36">
        <v>27882</v>
      </c>
      <c r="CL11" s="36"/>
      <c r="CM11" s="36"/>
      <c r="CN11" s="36"/>
      <c r="CO11" s="36"/>
      <c r="CP11" s="36"/>
      <c r="CQ11" s="36"/>
      <c r="CR11" s="36"/>
      <c r="CS11" s="36"/>
      <c r="CT11" s="36">
        <v>8562</v>
      </c>
      <c r="CU11" s="36"/>
      <c r="CV11" s="36"/>
      <c r="CW11" s="36"/>
      <c r="CX11" s="36"/>
      <c r="CY11" s="36"/>
      <c r="CZ11" s="36"/>
      <c r="DA11" s="36"/>
      <c r="DB11" s="36"/>
      <c r="DC11" s="36">
        <v>150</v>
      </c>
      <c r="DD11" s="36"/>
      <c r="DE11" s="36"/>
      <c r="DF11" s="36"/>
      <c r="DG11" s="36"/>
      <c r="DH11" s="36"/>
      <c r="DI11" s="36"/>
      <c r="DJ11" s="36"/>
      <c r="DK11" s="36"/>
      <c r="DL11" s="36">
        <f>770+488+832</f>
        <v>2090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ht="12.75" customHeight="1">
      <c r="A12" s="5"/>
      <c r="B12" s="64" t="s">
        <v>72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5"/>
      <c r="BF12" s="36">
        <f>SUM(BP12:FK12)</f>
        <v>19513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f>2177+2126</f>
        <v>4303</v>
      </c>
      <c r="CC12" s="36"/>
      <c r="CD12" s="36"/>
      <c r="CE12" s="36"/>
      <c r="CF12" s="36"/>
      <c r="CG12" s="36"/>
      <c r="CH12" s="36"/>
      <c r="CI12" s="36"/>
      <c r="CJ12" s="36"/>
      <c r="CK12" s="36">
        <v>10627</v>
      </c>
      <c r="CL12" s="36"/>
      <c r="CM12" s="36"/>
      <c r="CN12" s="36"/>
      <c r="CO12" s="36"/>
      <c r="CP12" s="36"/>
      <c r="CQ12" s="36"/>
      <c r="CR12" s="36"/>
      <c r="CS12" s="36"/>
      <c r="CT12" s="36">
        <v>3372</v>
      </c>
      <c r="CU12" s="36"/>
      <c r="CV12" s="36"/>
      <c r="CW12" s="36"/>
      <c r="CX12" s="36"/>
      <c r="CY12" s="36"/>
      <c r="CZ12" s="36"/>
      <c r="DA12" s="36"/>
      <c r="DB12" s="36"/>
      <c r="DC12" s="36">
        <v>58</v>
      </c>
      <c r="DD12" s="36"/>
      <c r="DE12" s="36"/>
      <c r="DF12" s="36"/>
      <c r="DG12" s="36"/>
      <c r="DH12" s="36"/>
      <c r="DI12" s="36"/>
      <c r="DJ12" s="36"/>
      <c r="DK12" s="36"/>
      <c r="DL12" s="36">
        <f>228+769+156</f>
        <v>1153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ht="12.75" customHeight="1">
      <c r="A13" s="5"/>
      <c r="B13" s="64" t="s">
        <v>73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36">
        <f>SUM(CB13:DU13)</f>
        <v>15927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f>683+237</f>
        <v>920</v>
      </c>
      <c r="CC13" s="36"/>
      <c r="CD13" s="36"/>
      <c r="CE13" s="36"/>
      <c r="CF13" s="36"/>
      <c r="CG13" s="36"/>
      <c r="CH13" s="36"/>
      <c r="CI13" s="36"/>
      <c r="CJ13" s="36"/>
      <c r="CK13" s="36">
        <v>8018</v>
      </c>
      <c r="CL13" s="36"/>
      <c r="CM13" s="36"/>
      <c r="CN13" s="36"/>
      <c r="CO13" s="36"/>
      <c r="CP13" s="36"/>
      <c r="CQ13" s="36"/>
      <c r="CR13" s="36"/>
      <c r="CS13" s="36"/>
      <c r="CT13" s="36">
        <v>3170</v>
      </c>
      <c r="CU13" s="36"/>
      <c r="CV13" s="36"/>
      <c r="CW13" s="36"/>
      <c r="CX13" s="36"/>
      <c r="CY13" s="36"/>
      <c r="CZ13" s="36"/>
      <c r="DA13" s="36"/>
      <c r="DB13" s="36"/>
      <c r="DC13" s="36">
        <v>3</v>
      </c>
      <c r="DD13" s="36"/>
      <c r="DE13" s="36"/>
      <c r="DF13" s="36"/>
      <c r="DG13" s="36"/>
      <c r="DH13" s="36"/>
      <c r="DI13" s="36"/>
      <c r="DJ13" s="36"/>
      <c r="DK13" s="36"/>
      <c r="DL13" s="36">
        <f>405+3039+372</f>
        <v>3816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4" spans="1:167" s="12" customFormat="1" ht="13.5" customHeight="1">
      <c r="A14" s="6"/>
      <c r="B14" s="33" t="s">
        <v>61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f>SUM(BP14:FK14)</f>
        <v>971778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>
        <f>CB7+926+162+1280+149+15510+5557</f>
        <v>54823</v>
      </c>
      <c r="CC14" s="32"/>
      <c r="CD14" s="32"/>
      <c r="CE14" s="32"/>
      <c r="CF14" s="32"/>
      <c r="CG14" s="32"/>
      <c r="CH14" s="32"/>
      <c r="CI14" s="32"/>
      <c r="CJ14" s="32"/>
      <c r="CK14" s="32">
        <f>CK7+14950+26498+69231</f>
        <v>344440</v>
      </c>
      <c r="CL14" s="32"/>
      <c r="CM14" s="32"/>
      <c r="CN14" s="32"/>
      <c r="CO14" s="32"/>
      <c r="CP14" s="32"/>
      <c r="CQ14" s="32"/>
      <c r="CR14" s="32"/>
      <c r="CS14" s="32"/>
      <c r="CT14" s="32">
        <f>CT7+4585+8171+18405</f>
        <v>102952</v>
      </c>
      <c r="CU14" s="32"/>
      <c r="CV14" s="32"/>
      <c r="CW14" s="32"/>
      <c r="CX14" s="32"/>
      <c r="CY14" s="32"/>
      <c r="CZ14" s="32"/>
      <c r="DA14" s="32"/>
      <c r="DB14" s="32"/>
      <c r="DC14" s="32">
        <f>DC7+254+123+1827</f>
        <v>6447</v>
      </c>
      <c r="DD14" s="32"/>
      <c r="DE14" s="32"/>
      <c r="DF14" s="32"/>
      <c r="DG14" s="32"/>
      <c r="DH14" s="32"/>
      <c r="DI14" s="32"/>
      <c r="DJ14" s="32"/>
      <c r="DK14" s="32"/>
      <c r="DL14" s="32">
        <f>DL7+271+1164+223+1737+1789+513+2026+412653+959</f>
        <v>463116</v>
      </c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</row>
    <row r="15" spans="1:167" ht="13.5" customHeight="1">
      <c r="A15" s="5"/>
      <c r="B15" s="33" t="s">
        <v>48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f>SUM(BP15:FK15)</f>
        <v>56189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>
        <v>56189</v>
      </c>
      <c r="FE15" s="32"/>
      <c r="FF15" s="32"/>
      <c r="FG15" s="32"/>
      <c r="FH15" s="32"/>
      <c r="FI15" s="32"/>
      <c r="FJ15" s="32"/>
      <c r="FK15" s="32"/>
    </row>
    <row r="16" spans="1:167" ht="15" customHeight="1">
      <c r="A16" s="5"/>
      <c r="B16" s="62" t="s">
        <v>82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3"/>
      <c r="BF16" s="32"/>
      <c r="BG16" s="52"/>
      <c r="BH16" s="52"/>
      <c r="BI16" s="52"/>
      <c r="BJ16" s="52"/>
      <c r="BK16" s="52"/>
      <c r="BL16" s="52"/>
      <c r="BM16" s="52"/>
      <c r="BN16" s="52"/>
      <c r="BO16" s="52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32"/>
      <c r="CC16" s="52"/>
      <c r="CD16" s="52"/>
      <c r="CE16" s="52"/>
      <c r="CF16" s="52"/>
      <c r="CG16" s="52"/>
      <c r="CH16" s="52"/>
      <c r="CI16" s="52"/>
      <c r="CJ16" s="52"/>
      <c r="CK16" s="32"/>
      <c r="CL16" s="52"/>
      <c r="CM16" s="52"/>
      <c r="CN16" s="52"/>
      <c r="CO16" s="52"/>
      <c r="CP16" s="52"/>
      <c r="CQ16" s="52"/>
      <c r="CR16" s="52"/>
      <c r="CS16" s="52"/>
      <c r="CT16" s="32"/>
      <c r="CU16" s="52"/>
      <c r="CV16" s="52"/>
      <c r="CW16" s="52"/>
      <c r="CX16" s="52"/>
      <c r="CY16" s="52"/>
      <c r="CZ16" s="52"/>
      <c r="DA16" s="52"/>
      <c r="DB16" s="52"/>
      <c r="DC16" s="32"/>
      <c r="DD16" s="52"/>
      <c r="DE16" s="52"/>
      <c r="DF16" s="52"/>
      <c r="DG16" s="52"/>
      <c r="DH16" s="52"/>
      <c r="DI16" s="52"/>
      <c r="DJ16" s="52"/>
      <c r="DK16" s="52"/>
      <c r="DL16" s="32"/>
      <c r="DM16" s="52"/>
      <c r="DN16" s="52"/>
      <c r="DO16" s="52"/>
      <c r="DP16" s="52"/>
      <c r="DQ16" s="52"/>
      <c r="DR16" s="52"/>
      <c r="DS16" s="52"/>
      <c r="DT16" s="52"/>
      <c r="DU16" s="52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</row>
    <row r="17" spans="1:167" ht="13.5" customHeight="1">
      <c r="A17" s="5"/>
      <c r="B17" s="53" t="s">
        <v>58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4"/>
      <c r="BF17" s="32">
        <f>SUM(BF18:BO23)</f>
        <v>380423.975</v>
      </c>
      <c r="BG17" s="52"/>
      <c r="BH17" s="52"/>
      <c r="BI17" s="52"/>
      <c r="BJ17" s="52"/>
      <c r="BK17" s="52"/>
      <c r="BL17" s="52"/>
      <c r="BM17" s="52"/>
      <c r="BN17" s="52"/>
      <c r="BO17" s="52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32">
        <f>SUM(CB18:CJ23)</f>
        <v>30915.604999999996</v>
      </c>
      <c r="CC17" s="52"/>
      <c r="CD17" s="52"/>
      <c r="CE17" s="52"/>
      <c r="CF17" s="52"/>
      <c r="CG17" s="52"/>
      <c r="CH17" s="52"/>
      <c r="CI17" s="52"/>
      <c r="CJ17" s="52"/>
      <c r="CK17" s="32">
        <f>SUM(CK18:CS23)</f>
        <v>232248.18000000002</v>
      </c>
      <c r="CL17" s="52"/>
      <c r="CM17" s="52"/>
      <c r="CN17" s="52"/>
      <c r="CO17" s="52"/>
      <c r="CP17" s="52"/>
      <c r="CQ17" s="52"/>
      <c r="CR17" s="52"/>
      <c r="CS17" s="52"/>
      <c r="CT17" s="32">
        <f>SUM(CT18:DB23)</f>
        <v>71327.01000000001</v>
      </c>
      <c r="CU17" s="52"/>
      <c r="CV17" s="52"/>
      <c r="CW17" s="52"/>
      <c r="CX17" s="52"/>
      <c r="CY17" s="52"/>
      <c r="CZ17" s="52"/>
      <c r="DA17" s="52"/>
      <c r="DB17" s="52"/>
      <c r="DC17" s="32">
        <f>SUM(DC18:DK23)</f>
        <v>4206.24</v>
      </c>
      <c r="DD17" s="52"/>
      <c r="DE17" s="52"/>
      <c r="DF17" s="52"/>
      <c r="DG17" s="52"/>
      <c r="DH17" s="52"/>
      <c r="DI17" s="52"/>
      <c r="DJ17" s="52"/>
      <c r="DK17" s="52"/>
      <c r="DL17" s="32">
        <f>SUM(DL18:DU23)</f>
        <v>41726.93999999999</v>
      </c>
      <c r="DM17" s="52"/>
      <c r="DN17" s="52"/>
      <c r="DO17" s="52"/>
      <c r="DP17" s="52"/>
      <c r="DQ17" s="52"/>
      <c r="DR17" s="52"/>
      <c r="DS17" s="52"/>
      <c r="DT17" s="52"/>
      <c r="DU17" s="52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</row>
    <row r="18" spans="1:167" ht="12.75" customHeight="1">
      <c r="A18" s="7"/>
      <c r="B18" s="48" t="s">
        <v>59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9"/>
      <c r="BF18" s="36">
        <f>SUM(BP18:FK18)</f>
        <v>182716.38</v>
      </c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>
        <f>CB8*0.99</f>
        <v>12031.47</v>
      </c>
      <c r="CC18" s="36"/>
      <c r="CD18" s="36"/>
      <c r="CE18" s="36"/>
      <c r="CF18" s="36"/>
      <c r="CG18" s="36"/>
      <c r="CH18" s="36"/>
      <c r="CI18" s="36"/>
      <c r="CJ18" s="36"/>
      <c r="CK18" s="36">
        <f>CK8*0.99</f>
        <v>117336.78</v>
      </c>
      <c r="CL18" s="36"/>
      <c r="CM18" s="36"/>
      <c r="CN18" s="36"/>
      <c r="CO18" s="36"/>
      <c r="CP18" s="36"/>
      <c r="CQ18" s="36"/>
      <c r="CR18" s="36"/>
      <c r="CS18" s="36"/>
      <c r="CT18" s="36">
        <f>CT8*0.99</f>
        <v>35211.33</v>
      </c>
      <c r="CU18" s="36"/>
      <c r="CV18" s="36"/>
      <c r="CW18" s="36"/>
      <c r="CX18" s="36"/>
      <c r="CY18" s="36"/>
      <c r="CZ18" s="36"/>
      <c r="DA18" s="36"/>
      <c r="DB18" s="36"/>
      <c r="DC18" s="36">
        <f>DC8*0.99</f>
        <v>1996.83</v>
      </c>
      <c r="DD18" s="36"/>
      <c r="DE18" s="36"/>
      <c r="DF18" s="36"/>
      <c r="DG18" s="36"/>
      <c r="DH18" s="36"/>
      <c r="DI18" s="36"/>
      <c r="DJ18" s="36"/>
      <c r="DK18" s="36"/>
      <c r="DL18" s="36">
        <f>DL8*0.99</f>
        <v>16139.97</v>
      </c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</row>
    <row r="19" spans="1:167" ht="12.75" customHeight="1">
      <c r="A19" s="5"/>
      <c r="B19" s="43" t="s">
        <v>76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F19" s="36">
        <f>SUM(BP19:FK19)</f>
        <v>67646.7</v>
      </c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>
        <f>CB9*0.99</f>
        <v>3090.7799999999997</v>
      </c>
      <c r="CC19" s="36"/>
      <c r="CD19" s="36"/>
      <c r="CE19" s="36"/>
      <c r="CF19" s="36"/>
      <c r="CG19" s="36"/>
      <c r="CH19" s="36"/>
      <c r="CI19" s="36"/>
      <c r="CJ19" s="36"/>
      <c r="CK19" s="36">
        <f>CK9*0.99</f>
        <v>41191.92</v>
      </c>
      <c r="CL19" s="36"/>
      <c r="CM19" s="36"/>
      <c r="CN19" s="36"/>
      <c r="CO19" s="36"/>
      <c r="CP19" s="36"/>
      <c r="CQ19" s="36"/>
      <c r="CR19" s="36"/>
      <c r="CS19" s="36"/>
      <c r="CT19" s="36">
        <f>CT9*0.99</f>
        <v>12626.46</v>
      </c>
      <c r="CU19" s="36"/>
      <c r="CV19" s="36"/>
      <c r="CW19" s="36"/>
      <c r="CX19" s="36"/>
      <c r="CY19" s="36"/>
      <c r="CZ19" s="36"/>
      <c r="DA19" s="36"/>
      <c r="DB19" s="36"/>
      <c r="DC19" s="36">
        <f>DC9*0.99</f>
        <v>1769.1299999999999</v>
      </c>
      <c r="DD19" s="36"/>
      <c r="DE19" s="36"/>
      <c r="DF19" s="36"/>
      <c r="DG19" s="36"/>
      <c r="DH19" s="36"/>
      <c r="DI19" s="36"/>
      <c r="DJ19" s="36"/>
      <c r="DK19" s="36"/>
      <c r="DL19" s="36">
        <f>DL9*0.99</f>
        <v>8968.41</v>
      </c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</row>
    <row r="20" spans="1:167" ht="12.75" customHeight="1">
      <c r="A20" s="5"/>
      <c r="B20" s="43" t="s">
        <v>77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4"/>
      <c r="BF20" s="36">
        <f>SUM(BP20:FK20)</f>
        <v>53776.545</v>
      </c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>
        <f>CB10*1.005</f>
        <v>8493.255</v>
      </c>
      <c r="CC20" s="36"/>
      <c r="CD20" s="36"/>
      <c r="CE20" s="36"/>
      <c r="CF20" s="36"/>
      <c r="CG20" s="36"/>
      <c r="CH20" s="36"/>
      <c r="CI20" s="36"/>
      <c r="CJ20" s="36"/>
      <c r="CK20" s="36">
        <f>CK10*1.005</f>
        <v>27239.519999999997</v>
      </c>
      <c r="CL20" s="36"/>
      <c r="CM20" s="36"/>
      <c r="CN20" s="36"/>
      <c r="CO20" s="36"/>
      <c r="CP20" s="36"/>
      <c r="CQ20" s="36"/>
      <c r="CR20" s="36"/>
      <c r="CS20" s="36"/>
      <c r="CT20" s="36">
        <f>CT10*1.005</f>
        <v>8407.83</v>
      </c>
      <c r="CU20" s="36"/>
      <c r="CV20" s="36"/>
      <c r="CW20" s="36"/>
      <c r="CX20" s="36"/>
      <c r="CY20" s="36"/>
      <c r="CZ20" s="36"/>
      <c r="DA20" s="36"/>
      <c r="DB20" s="36"/>
      <c r="DC20" s="36">
        <f>DC10*1.005</f>
        <v>229.14</v>
      </c>
      <c r="DD20" s="36"/>
      <c r="DE20" s="36"/>
      <c r="DF20" s="36"/>
      <c r="DG20" s="36"/>
      <c r="DH20" s="36"/>
      <c r="DI20" s="36"/>
      <c r="DJ20" s="36"/>
      <c r="DK20" s="36"/>
      <c r="DL20" s="36">
        <f>DL10*1.005</f>
        <v>9406.8</v>
      </c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</row>
    <row r="21" spans="1:167" ht="12.75" customHeight="1">
      <c r="A21" s="5"/>
      <c r="B21" s="45" t="s">
        <v>60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6"/>
      <c r="BF21" s="36">
        <f>SUM(BP21:FK21)</f>
        <v>41198.869999999995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>
        <f>CB11*1.005</f>
        <v>2301.45</v>
      </c>
      <c r="CC21" s="36"/>
      <c r="CD21" s="36"/>
      <c r="CE21" s="36"/>
      <c r="CF21" s="36"/>
      <c r="CG21" s="36"/>
      <c r="CH21" s="36"/>
      <c r="CI21" s="36"/>
      <c r="CJ21" s="36"/>
      <c r="CK21" s="36">
        <f>CK11*1.005</f>
        <v>28021.409999999996</v>
      </c>
      <c r="CL21" s="36"/>
      <c r="CM21" s="36"/>
      <c r="CN21" s="36"/>
      <c r="CO21" s="36"/>
      <c r="CP21" s="36"/>
      <c r="CQ21" s="36"/>
      <c r="CR21" s="36"/>
      <c r="CS21" s="36"/>
      <c r="CT21" s="36">
        <f>CT11*1.005</f>
        <v>8604.81</v>
      </c>
      <c r="CU21" s="36"/>
      <c r="CV21" s="36"/>
      <c r="CW21" s="36"/>
      <c r="CX21" s="36"/>
      <c r="CY21" s="36"/>
      <c r="CZ21" s="36"/>
      <c r="DA21" s="36"/>
      <c r="DB21" s="36"/>
      <c r="DC21" s="36">
        <f>DC11*1.005</f>
        <v>150.74999999999997</v>
      </c>
      <c r="DD21" s="36"/>
      <c r="DE21" s="36"/>
      <c r="DF21" s="36"/>
      <c r="DG21" s="36"/>
      <c r="DH21" s="36"/>
      <c r="DI21" s="36"/>
      <c r="DJ21" s="36"/>
      <c r="DK21" s="36"/>
      <c r="DL21" s="36">
        <f>DL11*1.005+20</f>
        <v>2120.45</v>
      </c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</row>
    <row r="22" spans="1:167" ht="12.75" customHeight="1">
      <c r="A22" s="5"/>
      <c r="B22" s="43" t="s">
        <v>78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4"/>
      <c r="BF22" s="36">
        <f>SUM(BP22:FK22)</f>
        <v>19317.75</v>
      </c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f aca="true" t="shared" si="0" ref="CB18:CB23">CB12*0.95</f>
        <v>4087.85</v>
      </c>
      <c r="CC22" s="36"/>
      <c r="CD22" s="36"/>
      <c r="CE22" s="36"/>
      <c r="CF22" s="36"/>
      <c r="CG22" s="36"/>
      <c r="CH22" s="36"/>
      <c r="CI22" s="36"/>
      <c r="CJ22" s="36"/>
      <c r="CK22" s="36">
        <f>CK12*0.99</f>
        <v>10520.73</v>
      </c>
      <c r="CL22" s="36"/>
      <c r="CM22" s="36"/>
      <c r="CN22" s="36"/>
      <c r="CO22" s="36"/>
      <c r="CP22" s="36"/>
      <c r="CQ22" s="36"/>
      <c r="CR22" s="36"/>
      <c r="CS22" s="36"/>
      <c r="CT22" s="36">
        <f>CT12*0.99</f>
        <v>3338.2799999999997</v>
      </c>
      <c r="CU22" s="36"/>
      <c r="CV22" s="36"/>
      <c r="CW22" s="36"/>
      <c r="CX22" s="36"/>
      <c r="CY22" s="36"/>
      <c r="CZ22" s="36"/>
      <c r="DA22" s="36"/>
      <c r="DB22" s="36"/>
      <c r="DC22" s="36">
        <f>DC12*0.99</f>
        <v>57.42</v>
      </c>
      <c r="DD22" s="36"/>
      <c r="DE22" s="36"/>
      <c r="DF22" s="36"/>
      <c r="DG22" s="36"/>
      <c r="DH22" s="36"/>
      <c r="DI22" s="36"/>
      <c r="DJ22" s="36"/>
      <c r="DK22" s="36"/>
      <c r="DL22" s="36">
        <f>DL12*0.99+172</f>
        <v>1313.47</v>
      </c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</row>
    <row r="23" spans="1:167" ht="12.75" customHeight="1">
      <c r="A23" s="5"/>
      <c r="B23" s="43" t="s">
        <v>79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  <c r="BF23" s="36">
        <f>SUM(CB23:DU23)</f>
        <v>15767.729999999998</v>
      </c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>
        <f>CB13*0.99</f>
        <v>910.8</v>
      </c>
      <c r="CC23" s="36"/>
      <c r="CD23" s="36"/>
      <c r="CE23" s="36"/>
      <c r="CF23" s="36"/>
      <c r="CG23" s="36"/>
      <c r="CH23" s="36"/>
      <c r="CI23" s="36"/>
      <c r="CJ23" s="36"/>
      <c r="CK23" s="36">
        <f>CK13*0.99</f>
        <v>7937.82</v>
      </c>
      <c r="CL23" s="36"/>
      <c r="CM23" s="36"/>
      <c r="CN23" s="36"/>
      <c r="CO23" s="36"/>
      <c r="CP23" s="36"/>
      <c r="CQ23" s="36"/>
      <c r="CR23" s="36"/>
      <c r="CS23" s="36"/>
      <c r="CT23" s="36">
        <f>CT13*0.99</f>
        <v>3138.3</v>
      </c>
      <c r="CU23" s="36"/>
      <c r="CV23" s="36"/>
      <c r="CW23" s="36"/>
      <c r="CX23" s="36"/>
      <c r="CY23" s="36"/>
      <c r="CZ23" s="36"/>
      <c r="DA23" s="36"/>
      <c r="DB23" s="36"/>
      <c r="DC23" s="36">
        <f>DC13*0.99</f>
        <v>2.9699999999999998</v>
      </c>
      <c r="DD23" s="36"/>
      <c r="DE23" s="36"/>
      <c r="DF23" s="36"/>
      <c r="DG23" s="36"/>
      <c r="DH23" s="36"/>
      <c r="DI23" s="36"/>
      <c r="DJ23" s="36"/>
      <c r="DK23" s="36"/>
      <c r="DL23" s="36">
        <f>DL13*0.99</f>
        <v>3777.84</v>
      </c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</row>
    <row r="24" spans="1:167" s="12" customFormat="1" ht="13.5" customHeight="1">
      <c r="A24" s="6"/>
      <c r="B24" s="60" t="s">
        <v>61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1"/>
      <c r="BF24" s="32">
        <f>SUM(BP24:FK24)</f>
        <v>1110420.36</v>
      </c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>
        <f>CB14*1.05</f>
        <v>57564.15</v>
      </c>
      <c r="CC24" s="32"/>
      <c r="CD24" s="32"/>
      <c r="CE24" s="32"/>
      <c r="CF24" s="32"/>
      <c r="CG24" s="32"/>
      <c r="CH24" s="32"/>
      <c r="CI24" s="32"/>
      <c r="CJ24" s="32"/>
      <c r="CK24" s="32">
        <f>CK14*1.04</f>
        <v>358217.60000000003</v>
      </c>
      <c r="CL24" s="32"/>
      <c r="CM24" s="32"/>
      <c r="CN24" s="32"/>
      <c r="CO24" s="32"/>
      <c r="CP24" s="32"/>
      <c r="CQ24" s="32"/>
      <c r="CR24" s="32"/>
      <c r="CS24" s="32"/>
      <c r="CT24" s="32">
        <f>CT14*1.04</f>
        <v>107070.08</v>
      </c>
      <c r="CU24" s="32"/>
      <c r="CV24" s="32"/>
      <c r="CW24" s="32"/>
      <c r="CX24" s="32"/>
      <c r="CY24" s="32"/>
      <c r="CZ24" s="32"/>
      <c r="DA24" s="32"/>
      <c r="DB24" s="32"/>
      <c r="DC24" s="32">
        <f>DC14*0.99</f>
        <v>6382.53</v>
      </c>
      <c r="DD24" s="32"/>
      <c r="DE24" s="32"/>
      <c r="DF24" s="32"/>
      <c r="DG24" s="32"/>
      <c r="DH24" s="32"/>
      <c r="DI24" s="32"/>
      <c r="DJ24" s="32"/>
      <c r="DK24" s="32"/>
      <c r="DL24" s="32">
        <f>DL14*1.25+2291</f>
        <v>581186</v>
      </c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</row>
    <row r="25" spans="1:167" ht="13.5" customHeight="1">
      <c r="A25" s="5"/>
      <c r="B25" s="60" t="s">
        <v>48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1"/>
      <c r="BF25" s="32">
        <f>SUM(BP25:FK25)</f>
        <v>56469.94499999999</v>
      </c>
      <c r="BG25" s="32"/>
      <c r="BH25" s="32"/>
      <c r="BI25" s="32"/>
      <c r="BJ25" s="32"/>
      <c r="BK25" s="32"/>
      <c r="BL25" s="32"/>
      <c r="BM25" s="32"/>
      <c r="BN25" s="32"/>
      <c r="BO25" s="32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>
        <f>FD15*1.005</f>
        <v>56469.94499999999</v>
      </c>
      <c r="FE25" s="32"/>
      <c r="FF25" s="32"/>
      <c r="FG25" s="32"/>
      <c r="FH25" s="32"/>
      <c r="FI25" s="32"/>
      <c r="FJ25" s="32"/>
      <c r="FK25" s="32"/>
    </row>
    <row r="26" spans="1:167" ht="15" customHeight="1">
      <c r="A26" s="5"/>
      <c r="B26" s="58" t="s">
        <v>86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9"/>
      <c r="BF26" s="32"/>
      <c r="BG26" s="52"/>
      <c r="BH26" s="52"/>
      <c r="BI26" s="52"/>
      <c r="BJ26" s="52"/>
      <c r="BK26" s="52"/>
      <c r="BL26" s="52"/>
      <c r="BM26" s="52"/>
      <c r="BN26" s="52"/>
      <c r="BO26" s="52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32"/>
      <c r="CC26" s="52"/>
      <c r="CD26" s="52"/>
      <c r="CE26" s="52"/>
      <c r="CF26" s="52"/>
      <c r="CG26" s="52"/>
      <c r="CH26" s="52"/>
      <c r="CI26" s="52"/>
      <c r="CJ26" s="52"/>
      <c r="CK26" s="32"/>
      <c r="CL26" s="52"/>
      <c r="CM26" s="52"/>
      <c r="CN26" s="52"/>
      <c r="CO26" s="52"/>
      <c r="CP26" s="52"/>
      <c r="CQ26" s="52"/>
      <c r="CR26" s="52"/>
      <c r="CS26" s="52"/>
      <c r="CT26" s="32"/>
      <c r="CU26" s="52"/>
      <c r="CV26" s="52"/>
      <c r="CW26" s="52"/>
      <c r="CX26" s="52"/>
      <c r="CY26" s="52"/>
      <c r="CZ26" s="52"/>
      <c r="DA26" s="52"/>
      <c r="DB26" s="52"/>
      <c r="DC26" s="32"/>
      <c r="DD26" s="52"/>
      <c r="DE26" s="52"/>
      <c r="DF26" s="52"/>
      <c r="DG26" s="52"/>
      <c r="DH26" s="52"/>
      <c r="DI26" s="52"/>
      <c r="DJ26" s="52"/>
      <c r="DK26" s="52"/>
      <c r="DL26" s="32"/>
      <c r="DM26" s="52"/>
      <c r="DN26" s="52"/>
      <c r="DO26" s="52"/>
      <c r="DP26" s="52"/>
      <c r="DQ26" s="52"/>
      <c r="DR26" s="52"/>
      <c r="DS26" s="52"/>
      <c r="DT26" s="52"/>
      <c r="DU26" s="52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</row>
    <row r="27" spans="1:167" ht="13.5" customHeight="1">
      <c r="A27" s="5"/>
      <c r="B27" s="53" t="s">
        <v>58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4"/>
      <c r="BF27" s="37">
        <f>SUM(CB27:DU27)</f>
        <v>382188.128215</v>
      </c>
      <c r="BG27" s="50"/>
      <c r="BH27" s="50"/>
      <c r="BI27" s="50"/>
      <c r="BJ27" s="50"/>
      <c r="BK27" s="50"/>
      <c r="BL27" s="50"/>
      <c r="BM27" s="50"/>
      <c r="BN27" s="50"/>
      <c r="BO27" s="51"/>
      <c r="BP27" s="55"/>
      <c r="BQ27" s="56"/>
      <c r="BR27" s="56"/>
      <c r="BS27" s="56"/>
      <c r="BT27" s="56"/>
      <c r="BU27" s="56"/>
      <c r="BV27" s="56"/>
      <c r="BW27" s="56"/>
      <c r="BX27" s="56"/>
      <c r="BY27" s="56"/>
      <c r="BZ27" s="57"/>
      <c r="CA27" s="27"/>
      <c r="CB27" s="37">
        <f>SUM(CB28:CJ33)</f>
        <v>31070.183025</v>
      </c>
      <c r="CC27" s="50"/>
      <c r="CD27" s="50"/>
      <c r="CE27" s="50"/>
      <c r="CF27" s="50"/>
      <c r="CG27" s="50"/>
      <c r="CH27" s="50"/>
      <c r="CI27" s="50"/>
      <c r="CJ27" s="51"/>
      <c r="CK27" s="37">
        <f>SUM(CK28:CS33)</f>
        <v>232480.42817999996</v>
      </c>
      <c r="CL27" s="50"/>
      <c r="CM27" s="50"/>
      <c r="CN27" s="50"/>
      <c r="CO27" s="50"/>
      <c r="CP27" s="50"/>
      <c r="CQ27" s="50"/>
      <c r="CR27" s="50"/>
      <c r="CS27" s="51"/>
      <c r="CT27" s="37">
        <f>SUM(CT28:DB33)</f>
        <v>71398.33700999999</v>
      </c>
      <c r="CU27" s="50"/>
      <c r="CV27" s="50"/>
      <c r="CW27" s="50"/>
      <c r="CX27" s="50"/>
      <c r="CY27" s="50"/>
      <c r="CZ27" s="50"/>
      <c r="DA27" s="50"/>
      <c r="DB27" s="51"/>
      <c r="DC27" s="37">
        <f>SUM(DC28:DK33)</f>
        <v>4206.24</v>
      </c>
      <c r="DD27" s="50"/>
      <c r="DE27" s="50"/>
      <c r="DF27" s="50"/>
      <c r="DG27" s="50"/>
      <c r="DH27" s="50"/>
      <c r="DI27" s="50"/>
      <c r="DJ27" s="50"/>
      <c r="DK27" s="51"/>
      <c r="DL27" s="37">
        <f>SUM(DL28:DU33)</f>
        <v>43032.94</v>
      </c>
      <c r="DM27" s="50"/>
      <c r="DN27" s="50"/>
      <c r="DO27" s="50"/>
      <c r="DP27" s="50"/>
      <c r="DQ27" s="50"/>
      <c r="DR27" s="50"/>
      <c r="DS27" s="50"/>
      <c r="DT27" s="50"/>
      <c r="DU27" s="51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</row>
    <row r="28" spans="1:167" ht="12.75" customHeight="1">
      <c r="A28" s="7"/>
      <c r="B28" s="48" t="s">
        <v>59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9"/>
      <c r="BF28" s="40">
        <f aca="true" t="shared" si="1" ref="BF28:BF34">SUM(CB28:DU28)</f>
        <v>183624.08545999997</v>
      </c>
      <c r="BG28" s="41"/>
      <c r="BH28" s="41"/>
      <c r="BI28" s="41"/>
      <c r="BJ28" s="41"/>
      <c r="BK28" s="41"/>
      <c r="BL28" s="41"/>
      <c r="BM28" s="41"/>
      <c r="BN28" s="41"/>
      <c r="BO28" s="42"/>
      <c r="BP28" s="40"/>
      <c r="BQ28" s="41"/>
      <c r="BR28" s="41"/>
      <c r="BS28" s="41"/>
      <c r="BT28" s="41"/>
      <c r="BU28" s="41"/>
      <c r="BV28" s="41"/>
      <c r="BW28" s="41"/>
      <c r="BX28" s="41"/>
      <c r="BY28" s="41"/>
      <c r="BZ28" s="42"/>
      <c r="CA28" s="28"/>
      <c r="CB28" s="40">
        <f aca="true" t="shared" si="2" ref="CB28:CB33">CB18*100.5/100</f>
        <v>12091.627349999999</v>
      </c>
      <c r="CC28" s="41"/>
      <c r="CD28" s="41"/>
      <c r="CE28" s="41"/>
      <c r="CF28" s="41"/>
      <c r="CG28" s="41"/>
      <c r="CH28" s="41"/>
      <c r="CI28" s="41"/>
      <c r="CJ28" s="42"/>
      <c r="CK28" s="40">
        <f aca="true" t="shared" si="3" ref="CK28:CK33">CK18*1.001</f>
        <v>117454.11677999998</v>
      </c>
      <c r="CL28" s="41"/>
      <c r="CM28" s="41"/>
      <c r="CN28" s="41"/>
      <c r="CO28" s="41"/>
      <c r="CP28" s="41"/>
      <c r="CQ28" s="41"/>
      <c r="CR28" s="41"/>
      <c r="CS28" s="42"/>
      <c r="CT28" s="40">
        <f aca="true" t="shared" si="4" ref="CT28:CT33">CT18*1.001</f>
        <v>35246.54133</v>
      </c>
      <c r="CU28" s="41"/>
      <c r="CV28" s="41"/>
      <c r="CW28" s="41"/>
      <c r="CX28" s="41"/>
      <c r="CY28" s="41"/>
      <c r="CZ28" s="41"/>
      <c r="DA28" s="41"/>
      <c r="DB28" s="42"/>
      <c r="DC28" s="40">
        <f aca="true" t="shared" si="5" ref="DC28:DC33">DC18</f>
        <v>1996.83</v>
      </c>
      <c r="DD28" s="41"/>
      <c r="DE28" s="41"/>
      <c r="DF28" s="41"/>
      <c r="DG28" s="41"/>
      <c r="DH28" s="41"/>
      <c r="DI28" s="41"/>
      <c r="DJ28" s="41"/>
      <c r="DK28" s="42"/>
      <c r="DL28" s="40">
        <f>DL18+588+107</f>
        <v>16834.97</v>
      </c>
      <c r="DM28" s="41"/>
      <c r="DN28" s="41"/>
      <c r="DO28" s="41"/>
      <c r="DP28" s="41"/>
      <c r="DQ28" s="41"/>
      <c r="DR28" s="41"/>
      <c r="DS28" s="41"/>
      <c r="DT28" s="41"/>
      <c r="DU28" s="42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</row>
    <row r="29" spans="1:167" ht="12.75" customHeight="1">
      <c r="A29" s="5"/>
      <c r="B29" s="43" t="s">
        <v>76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4"/>
      <c r="BF29" s="40">
        <f t="shared" si="1"/>
        <v>67923.97227999999</v>
      </c>
      <c r="BG29" s="41"/>
      <c r="BH29" s="41"/>
      <c r="BI29" s="41"/>
      <c r="BJ29" s="41"/>
      <c r="BK29" s="41"/>
      <c r="BL29" s="41"/>
      <c r="BM29" s="41"/>
      <c r="BN29" s="41"/>
      <c r="BO29" s="42"/>
      <c r="BP29" s="40"/>
      <c r="BQ29" s="41"/>
      <c r="BR29" s="41"/>
      <c r="BS29" s="41"/>
      <c r="BT29" s="41"/>
      <c r="BU29" s="41"/>
      <c r="BV29" s="41"/>
      <c r="BW29" s="41"/>
      <c r="BX29" s="41"/>
      <c r="BY29" s="41"/>
      <c r="BZ29" s="42"/>
      <c r="CA29" s="28"/>
      <c r="CB29" s="40">
        <f t="shared" si="2"/>
        <v>3106.2338999999997</v>
      </c>
      <c r="CC29" s="41"/>
      <c r="CD29" s="41"/>
      <c r="CE29" s="41"/>
      <c r="CF29" s="41"/>
      <c r="CG29" s="41"/>
      <c r="CH29" s="41"/>
      <c r="CI29" s="41"/>
      <c r="CJ29" s="42"/>
      <c r="CK29" s="40">
        <f t="shared" si="3"/>
        <v>41233.111919999996</v>
      </c>
      <c r="CL29" s="41"/>
      <c r="CM29" s="41"/>
      <c r="CN29" s="41"/>
      <c r="CO29" s="41"/>
      <c r="CP29" s="41"/>
      <c r="CQ29" s="41"/>
      <c r="CR29" s="41"/>
      <c r="CS29" s="42"/>
      <c r="CT29" s="40">
        <f t="shared" si="4"/>
        <v>12639.086459999999</v>
      </c>
      <c r="CU29" s="41"/>
      <c r="CV29" s="41"/>
      <c r="CW29" s="41"/>
      <c r="CX29" s="41"/>
      <c r="CY29" s="41"/>
      <c r="CZ29" s="41"/>
      <c r="DA29" s="41"/>
      <c r="DB29" s="42"/>
      <c r="DC29" s="40">
        <f t="shared" si="5"/>
        <v>1769.1299999999999</v>
      </c>
      <c r="DD29" s="41"/>
      <c r="DE29" s="41"/>
      <c r="DF29" s="41"/>
      <c r="DG29" s="41"/>
      <c r="DH29" s="41"/>
      <c r="DI29" s="41"/>
      <c r="DJ29" s="41"/>
      <c r="DK29" s="42"/>
      <c r="DL29" s="40">
        <f>DL19+200-7+15</f>
        <v>9176.41</v>
      </c>
      <c r="DM29" s="41"/>
      <c r="DN29" s="41"/>
      <c r="DO29" s="41"/>
      <c r="DP29" s="41"/>
      <c r="DQ29" s="41"/>
      <c r="DR29" s="41"/>
      <c r="DS29" s="41"/>
      <c r="DT29" s="41"/>
      <c r="DU29" s="42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</row>
    <row r="30" spans="1:167" ht="12.75" customHeight="1">
      <c r="A30" s="5"/>
      <c r="B30" s="43" t="s">
        <v>77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4"/>
      <c r="BF30" s="40">
        <f t="shared" si="1"/>
        <v>54021.658625</v>
      </c>
      <c r="BG30" s="41"/>
      <c r="BH30" s="41"/>
      <c r="BI30" s="41"/>
      <c r="BJ30" s="41"/>
      <c r="BK30" s="41"/>
      <c r="BL30" s="41"/>
      <c r="BM30" s="41"/>
      <c r="BN30" s="41"/>
      <c r="BO30" s="42"/>
      <c r="BP30" s="40"/>
      <c r="BQ30" s="41"/>
      <c r="BR30" s="41"/>
      <c r="BS30" s="41"/>
      <c r="BT30" s="41"/>
      <c r="BU30" s="41"/>
      <c r="BV30" s="41"/>
      <c r="BW30" s="41"/>
      <c r="BX30" s="41"/>
      <c r="BY30" s="41"/>
      <c r="BZ30" s="42"/>
      <c r="CA30" s="28"/>
      <c r="CB30" s="40">
        <f t="shared" si="2"/>
        <v>8535.721275</v>
      </c>
      <c r="CC30" s="41"/>
      <c r="CD30" s="41"/>
      <c r="CE30" s="41"/>
      <c r="CF30" s="41"/>
      <c r="CG30" s="41"/>
      <c r="CH30" s="41"/>
      <c r="CI30" s="41"/>
      <c r="CJ30" s="42"/>
      <c r="CK30" s="40">
        <f t="shared" si="3"/>
        <v>27266.759519999992</v>
      </c>
      <c r="CL30" s="41"/>
      <c r="CM30" s="41"/>
      <c r="CN30" s="41"/>
      <c r="CO30" s="41"/>
      <c r="CP30" s="41"/>
      <c r="CQ30" s="41"/>
      <c r="CR30" s="41"/>
      <c r="CS30" s="42"/>
      <c r="CT30" s="40">
        <f t="shared" si="4"/>
        <v>8416.237829999998</v>
      </c>
      <c r="CU30" s="41"/>
      <c r="CV30" s="41"/>
      <c r="CW30" s="41"/>
      <c r="CX30" s="41"/>
      <c r="CY30" s="41"/>
      <c r="CZ30" s="41"/>
      <c r="DA30" s="41"/>
      <c r="DB30" s="42"/>
      <c r="DC30" s="40">
        <f t="shared" si="5"/>
        <v>229.14</v>
      </c>
      <c r="DD30" s="41"/>
      <c r="DE30" s="41"/>
      <c r="DF30" s="41"/>
      <c r="DG30" s="41"/>
      <c r="DH30" s="41"/>
      <c r="DI30" s="41"/>
      <c r="DJ30" s="41"/>
      <c r="DK30" s="42"/>
      <c r="DL30" s="40">
        <f>DL20+167</f>
        <v>9573.8</v>
      </c>
      <c r="DM30" s="41"/>
      <c r="DN30" s="41"/>
      <c r="DO30" s="41"/>
      <c r="DP30" s="41"/>
      <c r="DQ30" s="41"/>
      <c r="DR30" s="41"/>
      <c r="DS30" s="41"/>
      <c r="DT30" s="41"/>
      <c r="DU30" s="42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</row>
    <row r="31" spans="1:167" ht="12.75" customHeight="1">
      <c r="A31" s="5"/>
      <c r="B31" s="45" t="s">
        <v>60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6"/>
      <c r="BF31" s="40">
        <f>SUM(CB31:DU31)-2</f>
        <v>41378.00346999999</v>
      </c>
      <c r="BG31" s="41"/>
      <c r="BH31" s="41"/>
      <c r="BI31" s="41"/>
      <c r="BJ31" s="41"/>
      <c r="BK31" s="41"/>
      <c r="BL31" s="41"/>
      <c r="BM31" s="41"/>
      <c r="BN31" s="41"/>
      <c r="BO31" s="42"/>
      <c r="BP31" s="40"/>
      <c r="BQ31" s="41"/>
      <c r="BR31" s="41"/>
      <c r="BS31" s="41"/>
      <c r="BT31" s="41"/>
      <c r="BU31" s="41"/>
      <c r="BV31" s="41"/>
      <c r="BW31" s="41"/>
      <c r="BX31" s="41"/>
      <c r="BY31" s="41"/>
      <c r="BZ31" s="42"/>
      <c r="CA31" s="28"/>
      <c r="CB31" s="40">
        <f t="shared" si="2"/>
        <v>2312.95725</v>
      </c>
      <c r="CC31" s="41"/>
      <c r="CD31" s="41"/>
      <c r="CE31" s="41"/>
      <c r="CF31" s="41"/>
      <c r="CG31" s="41"/>
      <c r="CH31" s="41"/>
      <c r="CI31" s="41"/>
      <c r="CJ31" s="42"/>
      <c r="CK31" s="40">
        <f t="shared" si="3"/>
        <v>28049.431409999994</v>
      </c>
      <c r="CL31" s="41"/>
      <c r="CM31" s="41"/>
      <c r="CN31" s="41"/>
      <c r="CO31" s="41"/>
      <c r="CP31" s="41"/>
      <c r="CQ31" s="41"/>
      <c r="CR31" s="41"/>
      <c r="CS31" s="42"/>
      <c r="CT31" s="40">
        <f t="shared" si="4"/>
        <v>8613.414809999998</v>
      </c>
      <c r="CU31" s="41"/>
      <c r="CV31" s="41"/>
      <c r="CW31" s="41"/>
      <c r="CX31" s="41"/>
      <c r="CY31" s="41"/>
      <c r="CZ31" s="41"/>
      <c r="DA31" s="41"/>
      <c r="DB31" s="42"/>
      <c r="DC31" s="40">
        <f t="shared" si="5"/>
        <v>150.74999999999997</v>
      </c>
      <c r="DD31" s="41"/>
      <c r="DE31" s="41"/>
      <c r="DF31" s="41"/>
      <c r="DG31" s="41"/>
      <c r="DH31" s="41"/>
      <c r="DI31" s="41"/>
      <c r="DJ31" s="41"/>
      <c r="DK31" s="42"/>
      <c r="DL31" s="40">
        <f>DL21+77+33+23</f>
        <v>2253.45</v>
      </c>
      <c r="DM31" s="41"/>
      <c r="DN31" s="41"/>
      <c r="DO31" s="41"/>
      <c r="DP31" s="41"/>
      <c r="DQ31" s="41"/>
      <c r="DR31" s="41"/>
      <c r="DS31" s="41"/>
      <c r="DT31" s="41"/>
      <c r="DU31" s="42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</row>
    <row r="32" spans="1:167" ht="12.75" customHeight="1">
      <c r="A32" s="5"/>
      <c r="B32" s="43" t="s">
        <v>78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4"/>
      <c r="BF32" s="40">
        <f>SUM(CB32:DU32)-1</f>
        <v>19393.048259999996</v>
      </c>
      <c r="BG32" s="41"/>
      <c r="BH32" s="41"/>
      <c r="BI32" s="41"/>
      <c r="BJ32" s="41"/>
      <c r="BK32" s="41"/>
      <c r="BL32" s="41"/>
      <c r="BM32" s="41"/>
      <c r="BN32" s="41"/>
      <c r="BO32" s="42"/>
      <c r="BP32" s="40"/>
      <c r="BQ32" s="41"/>
      <c r="BR32" s="41"/>
      <c r="BS32" s="41"/>
      <c r="BT32" s="41"/>
      <c r="BU32" s="41"/>
      <c r="BV32" s="41"/>
      <c r="BW32" s="41"/>
      <c r="BX32" s="41"/>
      <c r="BY32" s="41"/>
      <c r="BZ32" s="42"/>
      <c r="CA32" s="28"/>
      <c r="CB32" s="40">
        <f t="shared" si="2"/>
        <v>4108.28925</v>
      </c>
      <c r="CC32" s="41"/>
      <c r="CD32" s="41"/>
      <c r="CE32" s="41"/>
      <c r="CF32" s="41"/>
      <c r="CG32" s="41"/>
      <c r="CH32" s="41"/>
      <c r="CI32" s="41"/>
      <c r="CJ32" s="42"/>
      <c r="CK32" s="40">
        <f t="shared" si="3"/>
        <v>10531.250729999998</v>
      </c>
      <c r="CL32" s="41"/>
      <c r="CM32" s="41"/>
      <c r="CN32" s="41"/>
      <c r="CO32" s="41"/>
      <c r="CP32" s="41"/>
      <c r="CQ32" s="41"/>
      <c r="CR32" s="41"/>
      <c r="CS32" s="42"/>
      <c r="CT32" s="40">
        <f t="shared" si="4"/>
        <v>3341.6182799999992</v>
      </c>
      <c r="CU32" s="41"/>
      <c r="CV32" s="41"/>
      <c r="CW32" s="41"/>
      <c r="CX32" s="41"/>
      <c r="CY32" s="41"/>
      <c r="CZ32" s="41"/>
      <c r="DA32" s="41"/>
      <c r="DB32" s="42"/>
      <c r="DC32" s="40">
        <f t="shared" si="5"/>
        <v>57.42</v>
      </c>
      <c r="DD32" s="41"/>
      <c r="DE32" s="41"/>
      <c r="DF32" s="41"/>
      <c r="DG32" s="41"/>
      <c r="DH32" s="41"/>
      <c r="DI32" s="41"/>
      <c r="DJ32" s="41"/>
      <c r="DK32" s="42"/>
      <c r="DL32" s="40">
        <f>DL22+50-8</f>
        <v>1355.47</v>
      </c>
      <c r="DM32" s="41"/>
      <c r="DN32" s="41"/>
      <c r="DO32" s="41"/>
      <c r="DP32" s="41"/>
      <c r="DQ32" s="41"/>
      <c r="DR32" s="41"/>
      <c r="DS32" s="41"/>
      <c r="DT32" s="41"/>
      <c r="DU32" s="42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</row>
    <row r="33" spans="1:167" ht="12.75" customHeight="1">
      <c r="A33" s="5"/>
      <c r="B33" s="43" t="s">
        <v>79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4"/>
      <c r="BF33" s="40">
        <f t="shared" si="1"/>
        <v>15844.360119999998</v>
      </c>
      <c r="BG33" s="41"/>
      <c r="BH33" s="41"/>
      <c r="BI33" s="41"/>
      <c r="BJ33" s="41"/>
      <c r="BK33" s="41"/>
      <c r="BL33" s="41"/>
      <c r="BM33" s="41"/>
      <c r="BN33" s="41"/>
      <c r="BO33" s="42"/>
      <c r="BP33" s="40"/>
      <c r="BQ33" s="41"/>
      <c r="BR33" s="41"/>
      <c r="BS33" s="41"/>
      <c r="BT33" s="41"/>
      <c r="BU33" s="41"/>
      <c r="BV33" s="41"/>
      <c r="BW33" s="41"/>
      <c r="BX33" s="41"/>
      <c r="BY33" s="41"/>
      <c r="BZ33" s="42"/>
      <c r="CA33" s="28"/>
      <c r="CB33" s="40">
        <f t="shared" si="2"/>
        <v>915.3539999999999</v>
      </c>
      <c r="CC33" s="41"/>
      <c r="CD33" s="41"/>
      <c r="CE33" s="41"/>
      <c r="CF33" s="41"/>
      <c r="CG33" s="41"/>
      <c r="CH33" s="41"/>
      <c r="CI33" s="41"/>
      <c r="CJ33" s="42"/>
      <c r="CK33" s="40">
        <f t="shared" si="3"/>
        <v>7945.757819999999</v>
      </c>
      <c r="CL33" s="41"/>
      <c r="CM33" s="41"/>
      <c r="CN33" s="41"/>
      <c r="CO33" s="41"/>
      <c r="CP33" s="41"/>
      <c r="CQ33" s="41"/>
      <c r="CR33" s="41"/>
      <c r="CS33" s="42"/>
      <c r="CT33" s="40">
        <f t="shared" si="4"/>
        <v>3141.4383</v>
      </c>
      <c r="CU33" s="41"/>
      <c r="CV33" s="41"/>
      <c r="CW33" s="41"/>
      <c r="CX33" s="41"/>
      <c r="CY33" s="41"/>
      <c r="CZ33" s="41"/>
      <c r="DA33" s="41"/>
      <c r="DB33" s="42"/>
      <c r="DC33" s="40">
        <f t="shared" si="5"/>
        <v>2.9699999999999998</v>
      </c>
      <c r="DD33" s="41"/>
      <c r="DE33" s="41"/>
      <c r="DF33" s="41"/>
      <c r="DG33" s="41"/>
      <c r="DH33" s="41"/>
      <c r="DI33" s="41"/>
      <c r="DJ33" s="41"/>
      <c r="DK33" s="42"/>
      <c r="DL33" s="40">
        <f>DL23+57+4</f>
        <v>3838.84</v>
      </c>
      <c r="DM33" s="41"/>
      <c r="DN33" s="41"/>
      <c r="DO33" s="41"/>
      <c r="DP33" s="41"/>
      <c r="DQ33" s="41"/>
      <c r="DR33" s="41"/>
      <c r="DS33" s="41"/>
      <c r="DT33" s="41"/>
      <c r="DU33" s="42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</row>
    <row r="34" spans="1:167" s="22" customFormat="1" ht="13.5" customHeight="1">
      <c r="A34" s="21"/>
      <c r="B34" s="33" t="s">
        <v>61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4"/>
      <c r="BF34" s="37">
        <f t="shared" si="1"/>
        <v>1116670.7036000001</v>
      </c>
      <c r="BG34" s="38"/>
      <c r="BH34" s="38"/>
      <c r="BI34" s="38"/>
      <c r="BJ34" s="38"/>
      <c r="BK34" s="38"/>
      <c r="BL34" s="38"/>
      <c r="BM34" s="38"/>
      <c r="BN34" s="38"/>
      <c r="BO34" s="39"/>
      <c r="BP34" s="37"/>
      <c r="BQ34" s="38"/>
      <c r="BR34" s="38"/>
      <c r="BS34" s="38"/>
      <c r="BT34" s="38"/>
      <c r="BU34" s="38"/>
      <c r="BV34" s="38"/>
      <c r="BW34" s="38"/>
      <c r="BX34" s="38"/>
      <c r="BY34" s="38"/>
      <c r="BZ34" s="39"/>
      <c r="CA34" s="29"/>
      <c r="CB34" s="37">
        <f>CB24*1.01</f>
        <v>58139.7915</v>
      </c>
      <c r="CC34" s="38"/>
      <c r="CD34" s="38"/>
      <c r="CE34" s="38"/>
      <c r="CF34" s="38"/>
      <c r="CG34" s="38"/>
      <c r="CH34" s="38"/>
      <c r="CI34" s="38"/>
      <c r="CJ34" s="39"/>
      <c r="CK34" s="37">
        <f>CK24*1.01</f>
        <v>361799.776</v>
      </c>
      <c r="CL34" s="38"/>
      <c r="CM34" s="38"/>
      <c r="CN34" s="38"/>
      <c r="CO34" s="38"/>
      <c r="CP34" s="38"/>
      <c r="CQ34" s="38"/>
      <c r="CR34" s="38"/>
      <c r="CS34" s="39"/>
      <c r="CT34" s="37">
        <f>CT24*1.01</f>
        <v>108140.78080000001</v>
      </c>
      <c r="CU34" s="38"/>
      <c r="CV34" s="38"/>
      <c r="CW34" s="38"/>
      <c r="CX34" s="38"/>
      <c r="CY34" s="38"/>
      <c r="CZ34" s="38"/>
      <c r="DA34" s="38"/>
      <c r="DB34" s="39"/>
      <c r="DC34" s="37">
        <f>DC24*1.01</f>
        <v>6446.3553</v>
      </c>
      <c r="DD34" s="38"/>
      <c r="DE34" s="38"/>
      <c r="DF34" s="38"/>
      <c r="DG34" s="38"/>
      <c r="DH34" s="38"/>
      <c r="DI34" s="38"/>
      <c r="DJ34" s="38"/>
      <c r="DK34" s="39"/>
      <c r="DL34" s="37">
        <f>DL24+958</f>
        <v>582144</v>
      </c>
      <c r="DM34" s="38"/>
      <c r="DN34" s="38"/>
      <c r="DO34" s="38"/>
      <c r="DP34" s="38"/>
      <c r="DQ34" s="38"/>
      <c r="DR34" s="38"/>
      <c r="DS34" s="38"/>
      <c r="DT34" s="38"/>
      <c r="DU34" s="39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</row>
    <row r="35" spans="1:167" s="24" customFormat="1" ht="13.5" customHeight="1">
      <c r="A35" s="23"/>
      <c r="B35" s="33" t="s">
        <v>48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4"/>
      <c r="BF35" s="31">
        <f>SUM(BP35:FK35)</f>
        <v>57599.34389999999</v>
      </c>
      <c r="BG35" s="31"/>
      <c r="BH35" s="31"/>
      <c r="BI35" s="31"/>
      <c r="BJ35" s="31"/>
      <c r="BK35" s="31"/>
      <c r="BL35" s="31"/>
      <c r="BM35" s="31"/>
      <c r="BN35" s="31"/>
      <c r="BO35" s="31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2">
        <f>FD25*1.02</f>
        <v>57599.34389999999</v>
      </c>
      <c r="FE35" s="32"/>
      <c r="FF35" s="32"/>
      <c r="FG35" s="32"/>
      <c r="FH35" s="32"/>
      <c r="FI35" s="32"/>
      <c r="FJ35" s="32"/>
      <c r="FK35" s="32"/>
    </row>
  </sheetData>
  <sheetProtection/>
  <mergeCells count="385"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CT6:DB6"/>
    <mergeCell ref="DC6:DK6"/>
    <mergeCell ref="DL6:DU6"/>
    <mergeCell ref="DV6:EJ6"/>
    <mergeCell ref="EK6:ES6"/>
    <mergeCell ref="ET6:FC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CT9:DB9"/>
    <mergeCell ref="DC9:DK9"/>
    <mergeCell ref="DL9:DU9"/>
    <mergeCell ref="DV9:EJ9"/>
    <mergeCell ref="EK9:ES9"/>
    <mergeCell ref="ET9:FC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CT12:DB12"/>
    <mergeCell ref="DC12:DK12"/>
    <mergeCell ref="DL12:DU12"/>
    <mergeCell ref="DV12:EJ12"/>
    <mergeCell ref="EK12:ES12"/>
    <mergeCell ref="ET12:FC12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5:BE15"/>
    <mergeCell ref="BF15:BO15"/>
    <mergeCell ref="BP15:CA15"/>
    <mergeCell ref="CB15:CJ15"/>
    <mergeCell ref="CK15:CS15"/>
    <mergeCell ref="CT15:DB15"/>
    <mergeCell ref="DC15:DK15"/>
    <mergeCell ref="DL15:DU15"/>
    <mergeCell ref="DV15:EJ15"/>
    <mergeCell ref="EK15:ES15"/>
    <mergeCell ref="ET15:FC15"/>
    <mergeCell ref="FD15:FK15"/>
    <mergeCell ref="B16:BE16"/>
    <mergeCell ref="BF16:BO16"/>
    <mergeCell ref="BP16:CA16"/>
    <mergeCell ref="CB16:CJ16"/>
    <mergeCell ref="CK16:CS16"/>
    <mergeCell ref="CT16:DB16"/>
    <mergeCell ref="DC16:DK16"/>
    <mergeCell ref="DL16:DU16"/>
    <mergeCell ref="DV16:EJ16"/>
    <mergeCell ref="EK16:ES16"/>
    <mergeCell ref="ET16:FC16"/>
    <mergeCell ref="FD16:FK16"/>
    <mergeCell ref="B17:BE17"/>
    <mergeCell ref="BF17:BO17"/>
    <mergeCell ref="BP17:CA17"/>
    <mergeCell ref="CB17:CJ17"/>
    <mergeCell ref="CK17:CS17"/>
    <mergeCell ref="CT17:DB17"/>
    <mergeCell ref="DC17:DK17"/>
    <mergeCell ref="DL17:DU17"/>
    <mergeCell ref="DV17:EJ17"/>
    <mergeCell ref="EK17:ES17"/>
    <mergeCell ref="ET17:FC17"/>
    <mergeCell ref="FD17:FK17"/>
    <mergeCell ref="B18:BE18"/>
    <mergeCell ref="BF18:BO18"/>
    <mergeCell ref="BP18:CA18"/>
    <mergeCell ref="CB18:CJ18"/>
    <mergeCell ref="CK18:CS18"/>
    <mergeCell ref="CT18:DB18"/>
    <mergeCell ref="DC18:DK18"/>
    <mergeCell ref="DL18:DU18"/>
    <mergeCell ref="DV18:EJ18"/>
    <mergeCell ref="EK18:ES18"/>
    <mergeCell ref="ET18:FC18"/>
    <mergeCell ref="FD18:FK18"/>
    <mergeCell ref="B19:BE19"/>
    <mergeCell ref="BF19:BO19"/>
    <mergeCell ref="BP19:CA19"/>
    <mergeCell ref="CB19:CJ19"/>
    <mergeCell ref="CK19:CS19"/>
    <mergeCell ref="CT19:DB19"/>
    <mergeCell ref="DC19:DK19"/>
    <mergeCell ref="DL19:DU19"/>
    <mergeCell ref="DV19:EJ19"/>
    <mergeCell ref="EK19:ES19"/>
    <mergeCell ref="ET19:FC19"/>
    <mergeCell ref="FD19:FK19"/>
    <mergeCell ref="B20:BE20"/>
    <mergeCell ref="BF20:BO20"/>
    <mergeCell ref="BP20:CA20"/>
    <mergeCell ref="CB20:CJ20"/>
    <mergeCell ref="CK20:CS20"/>
    <mergeCell ref="CT20:DB20"/>
    <mergeCell ref="DC20:DK20"/>
    <mergeCell ref="DL20:DU20"/>
    <mergeCell ref="DV20:EJ20"/>
    <mergeCell ref="EK20:ES20"/>
    <mergeCell ref="ET20:FC20"/>
    <mergeCell ref="FD20:FK20"/>
    <mergeCell ref="B21:BE21"/>
    <mergeCell ref="BF21:BO21"/>
    <mergeCell ref="BP21:CA21"/>
    <mergeCell ref="CB21:CJ21"/>
    <mergeCell ref="CK21:CS21"/>
    <mergeCell ref="CT21:DB21"/>
    <mergeCell ref="DC21:DK21"/>
    <mergeCell ref="DL21:DU21"/>
    <mergeCell ref="DV21:EJ21"/>
    <mergeCell ref="EK21:ES21"/>
    <mergeCell ref="ET21:FC21"/>
    <mergeCell ref="FD21:FK21"/>
    <mergeCell ref="B22:BE22"/>
    <mergeCell ref="BF22:BO22"/>
    <mergeCell ref="BP22:CA22"/>
    <mergeCell ref="CB22:CJ22"/>
    <mergeCell ref="CK22:CS22"/>
    <mergeCell ref="CT22:DB22"/>
    <mergeCell ref="DC22:DK22"/>
    <mergeCell ref="DL22:DU22"/>
    <mergeCell ref="DV22:EJ22"/>
    <mergeCell ref="EK22:ES22"/>
    <mergeCell ref="ET22:FC22"/>
    <mergeCell ref="FD22:FK22"/>
    <mergeCell ref="B23:BE23"/>
    <mergeCell ref="BF23:BO23"/>
    <mergeCell ref="BP23:CA23"/>
    <mergeCell ref="CB23:CJ23"/>
    <mergeCell ref="CK23:CS23"/>
    <mergeCell ref="CT23:DB23"/>
    <mergeCell ref="DC23:DK23"/>
    <mergeCell ref="DL23:DU23"/>
    <mergeCell ref="DV23:EJ23"/>
    <mergeCell ref="EK23:ES23"/>
    <mergeCell ref="ET23:FC23"/>
    <mergeCell ref="FD23:FK23"/>
    <mergeCell ref="B24:BE24"/>
    <mergeCell ref="BF24:BO24"/>
    <mergeCell ref="BP24:CA24"/>
    <mergeCell ref="CB24:CJ24"/>
    <mergeCell ref="CK24:CS24"/>
    <mergeCell ref="CT24:DB24"/>
    <mergeCell ref="DC24:DK24"/>
    <mergeCell ref="DL24:DU24"/>
    <mergeCell ref="DV24:EJ24"/>
    <mergeCell ref="EK24:ES24"/>
    <mergeCell ref="ET24:FC24"/>
    <mergeCell ref="FD24:FK24"/>
    <mergeCell ref="B25:BE25"/>
    <mergeCell ref="BF25:BO25"/>
    <mergeCell ref="BP25:CA25"/>
    <mergeCell ref="CB25:CJ25"/>
    <mergeCell ref="CK25:CS25"/>
    <mergeCell ref="CT25:DB25"/>
    <mergeCell ref="DC25:DK25"/>
    <mergeCell ref="DL25:DU25"/>
    <mergeCell ref="DV25:EJ25"/>
    <mergeCell ref="EK25:ES25"/>
    <mergeCell ref="ET25:FC25"/>
    <mergeCell ref="FD25:FK25"/>
    <mergeCell ref="B26:BE26"/>
    <mergeCell ref="BF26:BO26"/>
    <mergeCell ref="BP26:CA26"/>
    <mergeCell ref="CB26:CJ26"/>
    <mergeCell ref="CK26:CS26"/>
    <mergeCell ref="CT26:DB26"/>
    <mergeCell ref="DC26:DK26"/>
    <mergeCell ref="DL26:DU26"/>
    <mergeCell ref="DV26:EJ26"/>
    <mergeCell ref="EK26:ES26"/>
    <mergeCell ref="ET26:FC26"/>
    <mergeCell ref="FD26:FK26"/>
    <mergeCell ref="B27:BE27"/>
    <mergeCell ref="BF27:BO27"/>
    <mergeCell ref="BP27:BZ27"/>
    <mergeCell ref="CB27:CJ27"/>
    <mergeCell ref="CK27:CS27"/>
    <mergeCell ref="CT27:DB27"/>
    <mergeCell ref="DC27:DK27"/>
    <mergeCell ref="DL27:DU27"/>
    <mergeCell ref="DV27:EJ27"/>
    <mergeCell ref="EK27:ES27"/>
    <mergeCell ref="ET27:FC27"/>
    <mergeCell ref="FD27:FK27"/>
    <mergeCell ref="B28:BE28"/>
    <mergeCell ref="BF28:BO28"/>
    <mergeCell ref="BP28:BZ28"/>
    <mergeCell ref="CB28:CJ28"/>
    <mergeCell ref="CK28:CS28"/>
    <mergeCell ref="CT28:DB28"/>
    <mergeCell ref="DC28:DK28"/>
    <mergeCell ref="DL28:DU28"/>
    <mergeCell ref="DV28:EJ28"/>
    <mergeCell ref="EK28:ES28"/>
    <mergeCell ref="ET28:FC28"/>
    <mergeCell ref="FD28:FK28"/>
    <mergeCell ref="B29:BE29"/>
    <mergeCell ref="BF29:BO29"/>
    <mergeCell ref="BP29:BZ29"/>
    <mergeCell ref="CB29:CJ29"/>
    <mergeCell ref="CK29:CS29"/>
    <mergeCell ref="CT29:DB29"/>
    <mergeCell ref="DC29:DK29"/>
    <mergeCell ref="DL29:DU29"/>
    <mergeCell ref="DV29:EJ29"/>
    <mergeCell ref="EK29:ES29"/>
    <mergeCell ref="ET29:FC29"/>
    <mergeCell ref="FD29:FK29"/>
    <mergeCell ref="B30:BE30"/>
    <mergeCell ref="BF30:BO30"/>
    <mergeCell ref="BP30:BZ30"/>
    <mergeCell ref="CB30:CJ30"/>
    <mergeCell ref="CK30:CS30"/>
    <mergeCell ref="CT30:DB30"/>
    <mergeCell ref="DC30:DK30"/>
    <mergeCell ref="DL30:DU30"/>
    <mergeCell ref="DV30:EJ30"/>
    <mergeCell ref="EK30:ES30"/>
    <mergeCell ref="ET30:FC30"/>
    <mergeCell ref="FD30:FK30"/>
    <mergeCell ref="B31:BE31"/>
    <mergeCell ref="BF31:BO31"/>
    <mergeCell ref="BP31:BZ31"/>
    <mergeCell ref="CB31:CJ31"/>
    <mergeCell ref="CK31:CS31"/>
    <mergeCell ref="CT31:DB31"/>
    <mergeCell ref="DC31:DK31"/>
    <mergeCell ref="DL31:DU31"/>
    <mergeCell ref="DV31:EJ31"/>
    <mergeCell ref="EK31:ES31"/>
    <mergeCell ref="ET31:FC31"/>
    <mergeCell ref="FD31:FK31"/>
    <mergeCell ref="B32:BE32"/>
    <mergeCell ref="BF32:BO32"/>
    <mergeCell ref="BP32:BZ32"/>
    <mergeCell ref="CB32:CJ32"/>
    <mergeCell ref="CK32:CS32"/>
    <mergeCell ref="CT32:DB32"/>
    <mergeCell ref="DC32:DK32"/>
    <mergeCell ref="DL32:DU32"/>
    <mergeCell ref="DV32:EJ32"/>
    <mergeCell ref="EK32:ES32"/>
    <mergeCell ref="ET32:FC32"/>
    <mergeCell ref="FD32:FK32"/>
    <mergeCell ref="B33:BE33"/>
    <mergeCell ref="BF33:BO33"/>
    <mergeCell ref="BP33:BZ33"/>
    <mergeCell ref="CB33:CJ33"/>
    <mergeCell ref="CK33:CS33"/>
    <mergeCell ref="CT33:DB33"/>
    <mergeCell ref="DC33:DK33"/>
    <mergeCell ref="DL33:DU33"/>
    <mergeCell ref="DV33:EJ33"/>
    <mergeCell ref="EK33:ES33"/>
    <mergeCell ref="ET33:FC33"/>
    <mergeCell ref="DC35:DK35"/>
    <mergeCell ref="FD33:FK33"/>
    <mergeCell ref="B34:BE34"/>
    <mergeCell ref="BF34:BO34"/>
    <mergeCell ref="BP34:BZ34"/>
    <mergeCell ref="CB34:CJ34"/>
    <mergeCell ref="CK34:CS34"/>
    <mergeCell ref="CT34:DB34"/>
    <mergeCell ref="DC34:DK34"/>
    <mergeCell ref="DL34:DU34"/>
    <mergeCell ref="B35:BE35"/>
    <mergeCell ref="BF35:BO35"/>
    <mergeCell ref="BP35:CA35"/>
    <mergeCell ref="CB35:CJ35"/>
    <mergeCell ref="CK35:CS35"/>
    <mergeCell ref="CT35:DB35"/>
    <mergeCell ref="DL35:DU35"/>
    <mergeCell ref="DV35:EJ35"/>
    <mergeCell ref="EK35:ES35"/>
    <mergeCell ref="ET35:FC35"/>
    <mergeCell ref="FD35:FK35"/>
    <mergeCell ref="EK34:ES34"/>
    <mergeCell ref="ET34:FC34"/>
    <mergeCell ref="FD34:FK34"/>
    <mergeCell ref="DV34:EJ34"/>
  </mergeCells>
  <printOptions/>
  <pageMargins left="0.3937007874015748" right="0.3149606299212598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8"/>
  <sheetViews>
    <sheetView tabSelected="1" view="pageBreakPreview" zoomScaleSheetLayoutView="100" zoomScalePageLayoutView="0" workbookViewId="0" topLeftCell="A1">
      <selection activeCell="DW17" sqref="DW17:EN17"/>
    </sheetView>
  </sheetViews>
  <sheetFormatPr defaultColWidth="0.875" defaultRowHeight="12.75"/>
  <cols>
    <col min="1" max="5" width="0.875" style="1" customWidth="1"/>
    <col min="6" max="6" width="0.37109375" style="1" customWidth="1"/>
    <col min="7" max="8" width="0.875" style="1" hidden="1" customWidth="1"/>
    <col min="9" max="70" width="0.875" style="1" customWidth="1"/>
    <col min="71" max="71" width="0.74609375" style="1" customWidth="1"/>
    <col min="72" max="74" width="0.875" style="1" hidden="1" customWidth="1"/>
    <col min="75" max="85" width="0.875" style="1" customWidth="1"/>
    <col min="86" max="86" width="0.37109375" style="1" customWidth="1"/>
    <col min="87" max="90" width="0.875" style="1" hidden="1" customWidth="1"/>
    <col min="91" max="102" width="0.875" style="1" customWidth="1"/>
    <col min="103" max="103" width="0.2421875" style="1" customWidth="1"/>
    <col min="104" max="108" width="0.875" style="1" hidden="1" customWidth="1"/>
    <col min="109" max="119" width="0.875" style="1" customWidth="1"/>
    <col min="120" max="120" width="0.2421875" style="1" customWidth="1"/>
    <col min="121" max="122" width="0.875" style="1" hidden="1" customWidth="1"/>
    <col min="123" max="123" width="0.2421875" style="1" hidden="1" customWidth="1"/>
    <col min="124" max="126" width="0.875" style="1" hidden="1" customWidth="1"/>
    <col min="127" max="136" width="0.875" style="1" customWidth="1"/>
    <col min="137" max="137" width="0.37109375" style="1" customWidth="1"/>
    <col min="138" max="138" width="0.875" style="1" hidden="1" customWidth="1"/>
    <col min="139" max="139" width="0.2421875" style="1" customWidth="1"/>
    <col min="140" max="140" width="0.74609375" style="1" hidden="1" customWidth="1"/>
    <col min="141" max="144" width="0.875" style="1" hidden="1" customWidth="1"/>
    <col min="145" max="146" width="0.875" style="1" customWidth="1"/>
    <col min="147" max="147" width="12.625" style="1" customWidth="1"/>
    <col min="148" max="16384" width="0.875" style="1" customWidth="1"/>
  </cols>
  <sheetData>
    <row r="1" spans="118:144" ht="15">
      <c r="DN1" s="1" t="s">
        <v>0</v>
      </c>
      <c r="EN1" s="2" t="s">
        <v>0</v>
      </c>
    </row>
    <row r="3" spans="1:144" s="10" customFormat="1" ht="15.75">
      <c r="A3" s="111" t="s">
        <v>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</row>
    <row r="4" spans="1:144" s="10" customFormat="1" ht="15.75">
      <c r="A4" s="111" t="s">
        <v>14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</row>
    <row r="5" spans="1:144" s="10" customFormat="1" ht="15.75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</row>
    <row r="7" spans="1:144" s="3" customFormat="1" ht="15" customHeight="1">
      <c r="A7" s="112" t="s">
        <v>16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</row>
    <row r="9" spans="1:144" s="8" customFormat="1" ht="45.75" customHeight="1">
      <c r="A9" s="113" t="s">
        <v>17</v>
      </c>
      <c r="B9" s="113"/>
      <c r="C9" s="113"/>
      <c r="D9" s="113"/>
      <c r="E9" s="113"/>
      <c r="F9" s="113"/>
      <c r="G9" s="113"/>
      <c r="H9" s="113"/>
      <c r="I9" s="114" t="s">
        <v>56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6"/>
      <c r="BW9" s="113" t="s">
        <v>18</v>
      </c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 t="s">
        <v>83</v>
      </c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 t="s">
        <v>81</v>
      </c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7" t="s">
        <v>84</v>
      </c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9"/>
    </row>
    <row r="10" spans="1:144" s="11" customFormat="1" ht="14.25">
      <c r="A10" s="90" t="s">
        <v>19</v>
      </c>
      <c r="B10" s="90"/>
      <c r="C10" s="90"/>
      <c r="D10" s="90"/>
      <c r="E10" s="90"/>
      <c r="F10" s="90"/>
      <c r="G10" s="90"/>
      <c r="H10" s="90"/>
      <c r="I10" s="13"/>
      <c r="J10" s="91" t="s">
        <v>22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2"/>
      <c r="BW10" s="93" t="s">
        <v>21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4">
        <v>990423</v>
      </c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105">
        <v>1093408</v>
      </c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1">
        <f aca="true" t="shared" si="0" ref="DW10:DW15">DE10*1.01</f>
        <v>1104342.08</v>
      </c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</row>
    <row r="11" spans="1:147" s="9" customFormat="1" ht="15">
      <c r="A11" s="95" t="s">
        <v>20</v>
      </c>
      <c r="B11" s="95"/>
      <c r="C11" s="95"/>
      <c r="D11" s="95"/>
      <c r="E11" s="95"/>
      <c r="F11" s="95"/>
      <c r="G11" s="95"/>
      <c r="H11" s="95"/>
      <c r="I11" s="14"/>
      <c r="J11" s="96" t="s">
        <v>71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7"/>
      <c r="BW11" s="98" t="s">
        <v>21</v>
      </c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9">
        <v>148571</v>
      </c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106">
        <f>CM11*0.98</f>
        <v>145599.58</v>
      </c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7">
        <f t="shared" si="0"/>
        <v>147055.5758</v>
      </c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Q11" s="11"/>
    </row>
    <row r="12" spans="1:147" s="9" customFormat="1" ht="15">
      <c r="A12" s="95" t="s">
        <v>23</v>
      </c>
      <c r="B12" s="95"/>
      <c r="C12" s="95"/>
      <c r="D12" s="95"/>
      <c r="E12" s="95"/>
      <c r="F12" s="95"/>
      <c r="G12" s="95"/>
      <c r="H12" s="95"/>
      <c r="I12" s="14"/>
      <c r="J12" s="96" t="s">
        <v>68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7"/>
      <c r="BW12" s="98" t="s">
        <v>21</v>
      </c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9">
        <v>50996</v>
      </c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106">
        <f>CM12*0.98</f>
        <v>49976.08</v>
      </c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7">
        <f t="shared" si="0"/>
        <v>50475.840800000005</v>
      </c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Q12" s="11"/>
    </row>
    <row r="13" spans="1:147" s="9" customFormat="1" ht="15">
      <c r="A13" s="95" t="s">
        <v>24</v>
      </c>
      <c r="B13" s="95"/>
      <c r="C13" s="95"/>
      <c r="D13" s="95"/>
      <c r="E13" s="95"/>
      <c r="F13" s="95"/>
      <c r="G13" s="95"/>
      <c r="H13" s="95"/>
      <c r="I13" s="14"/>
      <c r="J13" s="96" t="s">
        <v>69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7"/>
      <c r="BW13" s="98" t="s">
        <v>21</v>
      </c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9">
        <v>54553</v>
      </c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106">
        <f>CM13*1.005</f>
        <v>54825.76499999999</v>
      </c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7">
        <f t="shared" si="0"/>
        <v>55374.02264999999</v>
      </c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Q13" s="11"/>
    </row>
    <row r="14" spans="1:147" s="9" customFormat="1" ht="15">
      <c r="A14" s="95" t="s">
        <v>62</v>
      </c>
      <c r="B14" s="95"/>
      <c r="C14" s="95"/>
      <c r="D14" s="95"/>
      <c r="E14" s="95"/>
      <c r="F14" s="95"/>
      <c r="G14" s="95"/>
      <c r="H14" s="95"/>
      <c r="I14" s="14"/>
      <c r="J14" s="96" t="s">
        <v>70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7"/>
      <c r="BW14" s="98" t="s">
        <v>21</v>
      </c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9">
        <v>37240</v>
      </c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106">
        <f>CM14*1.005</f>
        <v>37426.2</v>
      </c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7">
        <f t="shared" si="0"/>
        <v>37800.462</v>
      </c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Q14" s="11"/>
    </row>
    <row r="15" spans="1:147" s="9" customFormat="1" ht="15" customHeight="1">
      <c r="A15" s="95" t="s">
        <v>63</v>
      </c>
      <c r="B15" s="95"/>
      <c r="C15" s="95"/>
      <c r="D15" s="95"/>
      <c r="E15" s="95"/>
      <c r="F15" s="95"/>
      <c r="G15" s="95"/>
      <c r="H15" s="95"/>
      <c r="I15" s="14"/>
      <c r="J15" s="96" t="s">
        <v>74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7"/>
      <c r="BW15" s="98" t="s">
        <v>21</v>
      </c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9">
        <v>10517</v>
      </c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106">
        <f>CM15*0.98</f>
        <v>10306.66</v>
      </c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7">
        <f t="shared" si="0"/>
        <v>10409.7266</v>
      </c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Q15" s="11"/>
    </row>
    <row r="16" spans="1:147" s="9" customFormat="1" ht="15" customHeight="1">
      <c r="A16" s="95" t="s">
        <v>64</v>
      </c>
      <c r="B16" s="95"/>
      <c r="C16" s="95"/>
      <c r="D16" s="95"/>
      <c r="E16" s="95"/>
      <c r="F16" s="95"/>
      <c r="G16" s="95"/>
      <c r="H16" s="95"/>
      <c r="I16" s="14"/>
      <c r="J16" s="96" t="s">
        <v>75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7"/>
      <c r="BW16" s="98" t="s">
        <v>21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9">
        <v>0</v>
      </c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106">
        <v>0</v>
      </c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7">
        <v>0</v>
      </c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Q16" s="11"/>
    </row>
    <row r="17" spans="1:144" s="11" customFormat="1" ht="30.75" customHeight="1">
      <c r="A17" s="90" t="s">
        <v>25</v>
      </c>
      <c r="B17" s="90"/>
      <c r="C17" s="90"/>
      <c r="D17" s="90"/>
      <c r="E17" s="90"/>
      <c r="F17" s="90"/>
      <c r="G17" s="90"/>
      <c r="H17" s="90"/>
      <c r="I17" s="13"/>
      <c r="J17" s="91" t="s">
        <v>26</v>
      </c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2"/>
      <c r="BW17" s="93" t="s">
        <v>21</v>
      </c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4">
        <v>1027967</v>
      </c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>
        <v>1166890</v>
      </c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101">
        <f>DE17*1.004+2400</f>
        <v>1173957.56</v>
      </c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</row>
    <row r="18" spans="1:147" s="9" customFormat="1" ht="15" customHeight="1">
      <c r="A18" s="95" t="s">
        <v>27</v>
      </c>
      <c r="B18" s="95"/>
      <c r="C18" s="95"/>
      <c r="D18" s="95"/>
      <c r="E18" s="95"/>
      <c r="F18" s="95"/>
      <c r="G18" s="95"/>
      <c r="H18" s="95"/>
      <c r="I18" s="14"/>
      <c r="J18" s="96" t="s">
        <v>71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7"/>
      <c r="BW18" s="98" t="s">
        <v>21</v>
      </c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108">
        <v>184562</v>
      </c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10"/>
      <c r="DE18" s="106">
        <f>CM18*0.99</f>
        <v>182716.38</v>
      </c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7">
        <f>DE18*100.5/100-6</f>
        <v>183623.96190000002</v>
      </c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Q18" s="30">
        <f aca="true" t="shared" si="1" ref="EQ18:EQ23">DW18/DE18*100</f>
        <v>100.4967162221581</v>
      </c>
    </row>
    <row r="19" spans="1:147" s="9" customFormat="1" ht="15" customHeight="1">
      <c r="A19" s="95" t="s">
        <v>28</v>
      </c>
      <c r="B19" s="95"/>
      <c r="C19" s="95"/>
      <c r="D19" s="95"/>
      <c r="E19" s="95"/>
      <c r="F19" s="95"/>
      <c r="G19" s="95"/>
      <c r="H19" s="95"/>
      <c r="I19" s="14"/>
      <c r="J19" s="96" t="s">
        <v>68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7"/>
      <c r="BW19" s="98" t="s">
        <v>21</v>
      </c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108">
        <v>68330</v>
      </c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10"/>
      <c r="DE19" s="106">
        <f>CM19*0.99</f>
        <v>67646.7</v>
      </c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7">
        <f>DE19*100.5/100-100+9</f>
        <v>67893.9335</v>
      </c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Q19" s="30">
        <f t="shared" si="1"/>
        <v>100.36547754731569</v>
      </c>
    </row>
    <row r="20" spans="1:147" s="9" customFormat="1" ht="15" customHeight="1">
      <c r="A20" s="95" t="s">
        <v>29</v>
      </c>
      <c r="B20" s="95"/>
      <c r="C20" s="95"/>
      <c r="D20" s="95"/>
      <c r="E20" s="95"/>
      <c r="F20" s="95"/>
      <c r="G20" s="95"/>
      <c r="H20" s="95"/>
      <c r="I20" s="14"/>
      <c r="J20" s="96" t="s">
        <v>69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7"/>
      <c r="BW20" s="98" t="s">
        <v>21</v>
      </c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9">
        <v>53509</v>
      </c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106">
        <f>CM20*1.005</f>
        <v>53776.54499999999</v>
      </c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7">
        <f>DE20*100.5/100-23</f>
        <v>54022.42772499999</v>
      </c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Q20" s="30">
        <f t="shared" si="1"/>
        <v>100.457230424528</v>
      </c>
    </row>
    <row r="21" spans="1:147" s="9" customFormat="1" ht="15" customHeight="1">
      <c r="A21" s="95" t="s">
        <v>65</v>
      </c>
      <c r="B21" s="95"/>
      <c r="C21" s="95"/>
      <c r="D21" s="95"/>
      <c r="E21" s="95"/>
      <c r="F21" s="95"/>
      <c r="G21" s="95"/>
      <c r="H21" s="95"/>
      <c r="I21" s="14"/>
      <c r="J21" s="96" t="s">
        <v>70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7"/>
      <c r="BW21" s="98" t="s">
        <v>21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9">
        <v>40974</v>
      </c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106">
        <f>CM21*1.0055</f>
        <v>41199.357</v>
      </c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7">
        <f>DE21*100.5/100-19-8</f>
        <v>41378.35378500001</v>
      </c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Q21" s="30">
        <f t="shared" si="1"/>
        <v>100.43446499662605</v>
      </c>
    </row>
    <row r="22" spans="1:147" s="9" customFormat="1" ht="15" customHeight="1">
      <c r="A22" s="95" t="s">
        <v>66</v>
      </c>
      <c r="B22" s="95"/>
      <c r="C22" s="95"/>
      <c r="D22" s="95"/>
      <c r="E22" s="95"/>
      <c r="F22" s="95"/>
      <c r="G22" s="95"/>
      <c r="H22" s="95"/>
      <c r="I22" s="14"/>
      <c r="J22" s="96" t="s">
        <v>74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7"/>
      <c r="BW22" s="98" t="s">
        <v>21</v>
      </c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9">
        <v>19513</v>
      </c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106">
        <f>CM22*0.99</f>
        <v>19317.87</v>
      </c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7">
        <f>DE22*100.5/100-18-3</f>
        <v>19393.459349999997</v>
      </c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Q22" s="30">
        <f t="shared" si="1"/>
        <v>100.39129236297791</v>
      </c>
    </row>
    <row r="23" spans="1:147" s="9" customFormat="1" ht="15" customHeight="1">
      <c r="A23" s="95" t="s">
        <v>67</v>
      </c>
      <c r="B23" s="95"/>
      <c r="C23" s="95"/>
      <c r="D23" s="95"/>
      <c r="E23" s="95"/>
      <c r="F23" s="95"/>
      <c r="G23" s="95"/>
      <c r="H23" s="95"/>
      <c r="I23" s="14"/>
      <c r="J23" s="96" t="s">
        <v>75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7"/>
      <c r="BW23" s="98" t="s">
        <v>21</v>
      </c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9">
        <v>15927</v>
      </c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106">
        <f>CM23*0.99</f>
        <v>15767.73</v>
      </c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7">
        <f>DE23*100.5/100-3</f>
        <v>15843.56865</v>
      </c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Q23" s="30">
        <f t="shared" si="1"/>
        <v>100.48097379901864</v>
      </c>
    </row>
    <row r="24" spans="1:144" s="11" customFormat="1" ht="14.25">
      <c r="A24" s="90" t="s">
        <v>30</v>
      </c>
      <c r="B24" s="90"/>
      <c r="C24" s="90"/>
      <c r="D24" s="90"/>
      <c r="E24" s="90"/>
      <c r="F24" s="90"/>
      <c r="G24" s="90"/>
      <c r="H24" s="90"/>
      <c r="I24" s="13"/>
      <c r="J24" s="91" t="s">
        <v>43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2"/>
      <c r="BW24" s="93" t="s">
        <v>21</v>
      </c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4">
        <f>CM10-CM17</f>
        <v>-37544</v>
      </c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105">
        <f>DE10-DE17</f>
        <v>-73482</v>
      </c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1">
        <f>DW10-DW17</f>
        <v>-69615.47999999998</v>
      </c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</row>
    <row r="25" spans="1:144" s="9" customFormat="1" ht="15">
      <c r="A25" s="95" t="s">
        <v>31</v>
      </c>
      <c r="B25" s="95"/>
      <c r="C25" s="95"/>
      <c r="D25" s="95"/>
      <c r="E25" s="95"/>
      <c r="F25" s="95"/>
      <c r="G25" s="95"/>
      <c r="H25" s="95"/>
      <c r="I25" s="14"/>
      <c r="J25" s="96" t="s">
        <v>44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7"/>
      <c r="BW25" s="98" t="s">
        <v>21</v>
      </c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9">
        <v>0</v>
      </c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>
        <v>0</v>
      </c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100">
        <v>0</v>
      </c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</row>
    <row r="26" spans="1:144" s="9" customFormat="1" ht="15">
      <c r="A26" s="95" t="s">
        <v>32</v>
      </c>
      <c r="B26" s="95"/>
      <c r="C26" s="95"/>
      <c r="D26" s="95"/>
      <c r="E26" s="95"/>
      <c r="F26" s="95"/>
      <c r="G26" s="95"/>
      <c r="H26" s="95"/>
      <c r="I26" s="14"/>
      <c r="J26" s="96" t="s">
        <v>45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7"/>
      <c r="BW26" s="98" t="s">
        <v>21</v>
      </c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9">
        <v>255</v>
      </c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>
        <v>0</v>
      </c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100">
        <v>0</v>
      </c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</row>
    <row r="27" spans="1:147" s="9" customFormat="1" ht="15">
      <c r="A27" s="95" t="s">
        <v>33</v>
      </c>
      <c r="B27" s="95"/>
      <c r="C27" s="95"/>
      <c r="D27" s="95"/>
      <c r="E27" s="95"/>
      <c r="F27" s="95"/>
      <c r="G27" s="95"/>
      <c r="H27" s="95"/>
      <c r="I27" s="14"/>
      <c r="J27" s="96" t="s">
        <v>46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7"/>
      <c r="BW27" s="98" t="s">
        <v>21</v>
      </c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9">
        <v>322</v>
      </c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>
        <v>0</v>
      </c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100">
        <v>0</v>
      </c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Q27" s="25"/>
    </row>
    <row r="28" spans="1:144" s="9" customFormat="1" ht="15">
      <c r="A28" s="95" t="s">
        <v>34</v>
      </c>
      <c r="B28" s="95"/>
      <c r="C28" s="95"/>
      <c r="D28" s="95"/>
      <c r="E28" s="95"/>
      <c r="F28" s="95"/>
      <c r="G28" s="95"/>
      <c r="H28" s="95"/>
      <c r="I28" s="14"/>
      <c r="J28" s="96" t="s">
        <v>47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7"/>
      <c r="BW28" s="98" t="s">
        <v>21</v>
      </c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9">
        <v>68283</v>
      </c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>
        <v>7875</v>
      </c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100">
        <v>8125</v>
      </c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</row>
    <row r="29" spans="1:147" s="9" customFormat="1" ht="15">
      <c r="A29" s="95" t="s">
        <v>35</v>
      </c>
      <c r="B29" s="95"/>
      <c r="C29" s="95"/>
      <c r="D29" s="95"/>
      <c r="E29" s="95"/>
      <c r="F29" s="95"/>
      <c r="G29" s="95"/>
      <c r="H29" s="95"/>
      <c r="I29" s="14"/>
      <c r="J29" s="96" t="s">
        <v>48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7"/>
      <c r="BW29" s="98" t="s">
        <v>21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9">
        <v>8302</v>
      </c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>
        <v>6541</v>
      </c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102">
        <f>DE29*1.02</f>
        <v>6671.82</v>
      </c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4"/>
      <c r="EQ29" s="25"/>
    </row>
    <row r="30" spans="1:144" s="11" customFormat="1" ht="14.25">
      <c r="A30" s="90" t="s">
        <v>36</v>
      </c>
      <c r="B30" s="90"/>
      <c r="C30" s="90"/>
      <c r="D30" s="90"/>
      <c r="E30" s="90"/>
      <c r="F30" s="90"/>
      <c r="G30" s="90"/>
      <c r="H30" s="90"/>
      <c r="I30" s="13"/>
      <c r="J30" s="91" t="s">
        <v>49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2"/>
      <c r="BW30" s="93" t="s">
        <v>21</v>
      </c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4">
        <f>CM28+CM26+CM25+CM24-CM27-CM29</f>
        <v>22370</v>
      </c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>
        <f>DE28+DE26+DE25+DE24-DE27-DE29</f>
        <v>-72148</v>
      </c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101">
        <f>DW28+DW26+DW25+DW24-DW27-DW29</f>
        <v>-68162.29999999999</v>
      </c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</row>
    <row r="31" spans="1:144" s="11" customFormat="1" ht="14.25">
      <c r="A31" s="90" t="s">
        <v>37</v>
      </c>
      <c r="B31" s="90"/>
      <c r="C31" s="90"/>
      <c r="D31" s="90"/>
      <c r="E31" s="90"/>
      <c r="F31" s="90"/>
      <c r="G31" s="90"/>
      <c r="H31" s="90"/>
      <c r="I31" s="13"/>
      <c r="J31" s="91" t="s">
        <v>50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W31" s="93" t="s">
        <v>21</v>
      </c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4">
        <v>7600</v>
      </c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>
        <v>13505</v>
      </c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101">
        <v>11052</v>
      </c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</row>
    <row r="32" spans="1:144" s="9" customFormat="1" ht="15">
      <c r="A32" s="95" t="s">
        <v>38</v>
      </c>
      <c r="B32" s="95"/>
      <c r="C32" s="95"/>
      <c r="D32" s="95"/>
      <c r="E32" s="95"/>
      <c r="F32" s="95"/>
      <c r="G32" s="95"/>
      <c r="H32" s="95"/>
      <c r="I32" s="14"/>
      <c r="J32" s="96" t="s">
        <v>51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7"/>
      <c r="BW32" s="98" t="s">
        <v>21</v>
      </c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9">
        <v>0</v>
      </c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>
        <v>0</v>
      </c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100">
        <v>0</v>
      </c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</row>
    <row r="33" spans="1:144" s="9" customFormat="1" ht="15">
      <c r="A33" s="95" t="s">
        <v>39</v>
      </c>
      <c r="B33" s="95"/>
      <c r="C33" s="95"/>
      <c r="D33" s="95"/>
      <c r="E33" s="95"/>
      <c r="F33" s="95"/>
      <c r="G33" s="95"/>
      <c r="H33" s="95"/>
      <c r="I33" s="14"/>
      <c r="J33" s="96" t="s">
        <v>52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7"/>
      <c r="BW33" s="98" t="s">
        <v>21</v>
      </c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9">
        <v>0</v>
      </c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>
        <v>0</v>
      </c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100">
        <v>0</v>
      </c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</row>
    <row r="34" spans="1:144" s="9" customFormat="1" ht="15">
      <c r="A34" s="95" t="s">
        <v>40</v>
      </c>
      <c r="B34" s="95"/>
      <c r="C34" s="95"/>
      <c r="D34" s="95"/>
      <c r="E34" s="95"/>
      <c r="F34" s="95"/>
      <c r="G34" s="95"/>
      <c r="H34" s="95"/>
      <c r="I34" s="14"/>
      <c r="J34" s="96" t="s">
        <v>53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7"/>
      <c r="BW34" s="98" t="s">
        <v>21</v>
      </c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9">
        <v>7600</v>
      </c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>
        <v>13505</v>
      </c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100">
        <v>11052</v>
      </c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</row>
    <row r="35" spans="1:144" s="9" customFormat="1" ht="15">
      <c r="A35" s="95" t="s">
        <v>41</v>
      </c>
      <c r="B35" s="95"/>
      <c r="C35" s="95"/>
      <c r="D35" s="95"/>
      <c r="E35" s="95"/>
      <c r="F35" s="95"/>
      <c r="G35" s="95"/>
      <c r="H35" s="95"/>
      <c r="I35" s="14"/>
      <c r="J35" s="96" t="s">
        <v>54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7"/>
      <c r="BW35" s="98" t="s">
        <v>21</v>
      </c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9">
        <v>0</v>
      </c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>
        <v>0</v>
      </c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100">
        <v>0</v>
      </c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</row>
    <row r="36" spans="1:144" s="11" customFormat="1" ht="14.25">
      <c r="A36" s="90" t="s">
        <v>42</v>
      </c>
      <c r="B36" s="90"/>
      <c r="C36" s="90"/>
      <c r="D36" s="90"/>
      <c r="E36" s="90"/>
      <c r="F36" s="90"/>
      <c r="G36" s="90"/>
      <c r="H36" s="90"/>
      <c r="I36" s="13"/>
      <c r="J36" s="91" t="s">
        <v>55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2"/>
      <c r="BW36" s="93" t="s">
        <v>21</v>
      </c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4">
        <f>CM30+CM31</f>
        <v>29970</v>
      </c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>
        <f>DE30+DE31+1</f>
        <v>-58642</v>
      </c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>
        <f>DW30+DW31</f>
        <v>-57110.29999999999</v>
      </c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</row>
    <row r="37" spans="1:144" s="11" customFormat="1" ht="14.25">
      <c r="A37" s="15"/>
      <c r="B37" s="15"/>
      <c r="C37" s="15"/>
      <c r="D37" s="15"/>
      <c r="E37" s="15"/>
      <c r="F37" s="15"/>
      <c r="G37" s="15"/>
      <c r="H37" s="15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</row>
    <row r="38" spans="1:14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</row>
  </sheetData>
  <sheetProtection/>
  <mergeCells count="172">
    <mergeCell ref="A3:EN3"/>
    <mergeCell ref="A4:EN4"/>
    <mergeCell ref="A5:EN5"/>
    <mergeCell ref="A7:EN7"/>
    <mergeCell ref="A9:H9"/>
    <mergeCell ref="I9:BV9"/>
    <mergeCell ref="BW9:CL9"/>
    <mergeCell ref="CM9:DD9"/>
    <mergeCell ref="DE9:DV9"/>
    <mergeCell ref="DW9:EN9"/>
    <mergeCell ref="A10:H10"/>
    <mergeCell ref="J10:BV10"/>
    <mergeCell ref="BW10:CL10"/>
    <mergeCell ref="CM10:DD10"/>
    <mergeCell ref="DE10:DV10"/>
    <mergeCell ref="DW10:EN10"/>
    <mergeCell ref="A11:H11"/>
    <mergeCell ref="J11:BV11"/>
    <mergeCell ref="BW11:CL11"/>
    <mergeCell ref="CM11:DD11"/>
    <mergeCell ref="DE11:DV11"/>
    <mergeCell ref="DW11:EN11"/>
    <mergeCell ref="A12:H12"/>
    <mergeCell ref="J12:BV12"/>
    <mergeCell ref="BW12:CL12"/>
    <mergeCell ref="CM12:DD12"/>
    <mergeCell ref="DE12:DV12"/>
    <mergeCell ref="DW12:EN12"/>
    <mergeCell ref="A13:H13"/>
    <mergeCell ref="J13:BV13"/>
    <mergeCell ref="BW13:CL13"/>
    <mergeCell ref="CM13:DD13"/>
    <mergeCell ref="DE13:DV13"/>
    <mergeCell ref="DW13:EN13"/>
    <mergeCell ref="A14:H14"/>
    <mergeCell ref="J14:BV14"/>
    <mergeCell ref="BW14:CL14"/>
    <mergeCell ref="CM14:DD14"/>
    <mergeCell ref="DE14:DV14"/>
    <mergeCell ref="DW14:EN14"/>
    <mergeCell ref="A15:H15"/>
    <mergeCell ref="J15:BV15"/>
    <mergeCell ref="BW15:CL15"/>
    <mergeCell ref="CM15:DD15"/>
    <mergeCell ref="DE15:DV15"/>
    <mergeCell ref="DW15:EN15"/>
    <mergeCell ref="A16:H16"/>
    <mergeCell ref="J16:BV16"/>
    <mergeCell ref="BW16:CL16"/>
    <mergeCell ref="CM16:DD16"/>
    <mergeCell ref="DE16:DV16"/>
    <mergeCell ref="DW16:EN16"/>
    <mergeCell ref="A17:H17"/>
    <mergeCell ref="J17:BV17"/>
    <mergeCell ref="BW17:CL17"/>
    <mergeCell ref="CM17:DD17"/>
    <mergeCell ref="DE17:DV17"/>
    <mergeCell ref="DW17:EN17"/>
    <mergeCell ref="A18:H18"/>
    <mergeCell ref="J18:BV18"/>
    <mergeCell ref="BW18:CL18"/>
    <mergeCell ref="CM18:DD18"/>
    <mergeCell ref="DE18:DV18"/>
    <mergeCell ref="DW18:EN18"/>
    <mergeCell ref="A19:H19"/>
    <mergeCell ref="J19:BV19"/>
    <mergeCell ref="BW19:CL19"/>
    <mergeCell ref="CM19:DD19"/>
    <mergeCell ref="DE19:DV19"/>
    <mergeCell ref="DW19:EN19"/>
    <mergeCell ref="A20:H20"/>
    <mergeCell ref="J20:BV20"/>
    <mergeCell ref="BW20:CL20"/>
    <mergeCell ref="CM20:DD20"/>
    <mergeCell ref="DE20:DV20"/>
    <mergeCell ref="DW20:EN20"/>
    <mergeCell ref="A21:H21"/>
    <mergeCell ref="J21:BV21"/>
    <mergeCell ref="BW21:CL21"/>
    <mergeCell ref="CM21:DD21"/>
    <mergeCell ref="DE21:DV21"/>
    <mergeCell ref="DW21:EN21"/>
    <mergeCell ref="A22:H22"/>
    <mergeCell ref="J22:BV22"/>
    <mergeCell ref="BW22:CL22"/>
    <mergeCell ref="CM22:DD22"/>
    <mergeCell ref="DE22:DV22"/>
    <mergeCell ref="DW22:EN22"/>
    <mergeCell ref="A23:H23"/>
    <mergeCell ref="J23:BV23"/>
    <mergeCell ref="BW23:CL23"/>
    <mergeCell ref="CM23:DD23"/>
    <mergeCell ref="DE23:DV23"/>
    <mergeCell ref="DW23:EN23"/>
    <mergeCell ref="A24:H24"/>
    <mergeCell ref="J24:BV24"/>
    <mergeCell ref="BW24:CL24"/>
    <mergeCell ref="CM24:DD24"/>
    <mergeCell ref="DE24:DV24"/>
    <mergeCell ref="DW24:EN24"/>
    <mergeCell ref="A25:H25"/>
    <mergeCell ref="J25:BV25"/>
    <mergeCell ref="BW25:CL25"/>
    <mergeCell ref="CM25:DD25"/>
    <mergeCell ref="DE25:DV25"/>
    <mergeCell ref="DW25:EN25"/>
    <mergeCell ref="A26:H26"/>
    <mergeCell ref="J26:BV26"/>
    <mergeCell ref="BW26:CL26"/>
    <mergeCell ref="CM26:DD26"/>
    <mergeCell ref="DE26:DV26"/>
    <mergeCell ref="DW26:EN26"/>
    <mergeCell ref="A27:H27"/>
    <mergeCell ref="J27:BV27"/>
    <mergeCell ref="BW27:CL27"/>
    <mergeCell ref="CM27:DD27"/>
    <mergeCell ref="DE27:DV27"/>
    <mergeCell ref="DW27:EN27"/>
    <mergeCell ref="A28:H28"/>
    <mergeCell ref="J28:BV28"/>
    <mergeCell ref="BW28:CL28"/>
    <mergeCell ref="CM28:DD28"/>
    <mergeCell ref="DE28:DV28"/>
    <mergeCell ref="DW28:EN28"/>
    <mergeCell ref="A29:H29"/>
    <mergeCell ref="J29:BV29"/>
    <mergeCell ref="BW29:CL29"/>
    <mergeCell ref="CM29:DD29"/>
    <mergeCell ref="DE29:DV29"/>
    <mergeCell ref="DW29:EN29"/>
    <mergeCell ref="A30:H30"/>
    <mergeCell ref="J30:BV30"/>
    <mergeCell ref="BW30:CL30"/>
    <mergeCell ref="CM30:DD30"/>
    <mergeCell ref="DE30:DV30"/>
    <mergeCell ref="DW30:EN30"/>
    <mergeCell ref="A31:H31"/>
    <mergeCell ref="J31:BV31"/>
    <mergeCell ref="BW31:CL31"/>
    <mergeCell ref="CM31:DD31"/>
    <mergeCell ref="DE31:DV31"/>
    <mergeCell ref="DW31:EN31"/>
    <mergeCell ref="A32:H32"/>
    <mergeCell ref="J32:BV32"/>
    <mergeCell ref="BW32:CL32"/>
    <mergeCell ref="CM32:DD32"/>
    <mergeCell ref="DE32:DV32"/>
    <mergeCell ref="DW32:EN32"/>
    <mergeCell ref="A33:H33"/>
    <mergeCell ref="J33:BV33"/>
    <mergeCell ref="BW33:CL33"/>
    <mergeCell ref="CM33:DD33"/>
    <mergeCell ref="DE33:DV33"/>
    <mergeCell ref="DW33:EN33"/>
    <mergeCell ref="A34:H34"/>
    <mergeCell ref="J34:BV34"/>
    <mergeCell ref="BW34:CL34"/>
    <mergeCell ref="CM34:DD34"/>
    <mergeCell ref="DE34:DV34"/>
    <mergeCell ref="DW34:EN34"/>
    <mergeCell ref="A35:H35"/>
    <mergeCell ref="J35:BV35"/>
    <mergeCell ref="BW35:CL35"/>
    <mergeCell ref="CM35:DD35"/>
    <mergeCell ref="DE35:DV35"/>
    <mergeCell ref="DW35:EN35"/>
    <mergeCell ref="A36:H36"/>
    <mergeCell ref="J36:BV36"/>
    <mergeCell ref="BW36:CL36"/>
    <mergeCell ref="CM36:DD36"/>
    <mergeCell ref="DE36:DV36"/>
    <mergeCell ref="DW36:EN36"/>
  </mergeCells>
  <printOptions/>
  <pageMargins left="0.3937007874015748" right="0.11811023622047245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Таралло</cp:lastModifiedBy>
  <cp:lastPrinted>2016-04-22T12:35:07Z</cp:lastPrinted>
  <dcterms:created xsi:type="dcterms:W3CDTF">2011-01-11T10:25:48Z</dcterms:created>
  <dcterms:modified xsi:type="dcterms:W3CDTF">2022-04-28T12:25:20Z</dcterms:modified>
  <cp:category/>
  <cp:version/>
  <cp:contentType/>
  <cp:contentStatus/>
</cp:coreProperties>
</file>